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8131" lockStructure="1"/>
  <bookViews>
    <workbookView xWindow="120" yWindow="780" windowWidth="9480" windowHeight="4470"/>
  </bookViews>
  <sheets>
    <sheet name="Newtonus.Calculator.T Head.Pipe" sheetId="1" r:id="rId1"/>
    <sheet name="Tot.Head" sheetId="2" state="hidden" r:id="rId2"/>
  </sheets>
  <definedNames>
    <definedName name="_xlnm.Print_Area" localSheetId="0">'Newtonus.Calculator.T Head.Pipe'!$B$1:$AZ$45</definedName>
    <definedName name="_xlnm.Print_Area" localSheetId="1">Tot.Head!$B$2:$G$66</definedName>
    <definedName name="Z_271937E2_A983_48B8_B01A_78DF13D405AE_.wvu.Cols" localSheetId="0" hidden="1">'Newtonus.Calculator.T Head.Pipe'!$A:$A,'Newtonus.Calculator.T Head.Pipe'!$H:$I,'Newtonus.Calculator.T Head.Pipe'!$AB:$AC,'Newtonus.Calculator.T Head.Pipe'!$AK:$AK,'Newtonus.Calculator.T Head.Pipe'!$AO:$AO,'Newtonus.Calculator.T Head.Pipe'!$AZ:$AZ,'Newtonus.Calculator.T Head.Pipe'!$BG:$BK</definedName>
    <definedName name="Z_271937E2_A983_48B8_B01A_78DF13D405AE_.wvu.PrintArea" localSheetId="0" hidden="1">'Newtonus.Calculator.T Head.Pipe'!$C$2:$BF$107</definedName>
    <definedName name="Z_271937E2_A983_48B8_B01A_78DF13D405AE_.wvu.PrintArea" localSheetId="1" hidden="1">Tot.Head!$B$2:$G$66</definedName>
    <definedName name="Z_271937E2_A983_48B8_B01A_78DF13D405AE_.wvu.Rows" localSheetId="0" hidden="1">'Newtonus.Calculator.T Head.Pipe'!$7:$7,'Newtonus.Calculator.T Head.Pipe'!$21:$21,'Newtonus.Calculator.T Head.Pipe'!$25:$26,'Newtonus.Calculator.T Head.Pipe'!$109:$161</definedName>
  </definedNames>
  <calcPr calcId="144525"/>
  <customWorkbookViews>
    <customWorkbookView name="hp - Personal View" guid="{271937E2-A983-48B8-B01A-78DF13D405AE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O17" i="1" l="1"/>
  <c r="CA55" i="1" s="1"/>
  <c r="BY55" i="1"/>
  <c r="BX55" i="1"/>
  <c r="CE47" i="1"/>
  <c r="CC47" i="1"/>
  <c r="CB47" i="1"/>
  <c r="CA47" i="1"/>
  <c r="BZ47" i="1"/>
  <c r="CD51" i="1" l="1"/>
  <c r="CD50" i="1"/>
  <c r="CD53" i="1"/>
  <c r="CD49" i="1"/>
  <c r="CD52" i="1"/>
  <c r="CD48" i="1"/>
  <c r="AW35" i="2"/>
  <c r="AW34" i="2"/>
  <c r="AW33" i="2"/>
  <c r="AW32" i="2"/>
  <c r="AW31" i="2"/>
  <c r="AW30" i="2"/>
  <c r="AW29" i="2"/>
  <c r="AW37" i="2"/>
  <c r="CD47" i="1" l="1"/>
  <c r="BX47" i="1" s="1"/>
  <c r="BZ55" i="1" s="1"/>
  <c r="BN17" i="1" s="1"/>
  <c r="CQ167" i="1"/>
  <c r="CQ168" i="1"/>
  <c r="CQ166" i="1"/>
  <c r="CQ165" i="1"/>
  <c r="CQ164" i="1"/>
  <c r="CQ163" i="1"/>
  <c r="CQ162" i="1"/>
  <c r="M27" i="1" l="1"/>
  <c r="AM13" i="1" l="1"/>
  <c r="AM8" i="1"/>
  <c r="AR6" i="1"/>
  <c r="G3" i="1" l="1"/>
  <c r="C71" i="2" s="1"/>
  <c r="M164" i="1"/>
  <c r="Z164" i="1" s="1"/>
  <c r="M163" i="1"/>
  <c r="M162" i="1"/>
  <c r="Y163" i="1" l="1"/>
  <c r="H23" i="2" s="1"/>
  <c r="X169" i="1" s="1"/>
  <c r="CL15" i="1" s="1"/>
  <c r="Y40" i="1"/>
  <c r="BX45" i="1"/>
  <c r="CA45" i="1"/>
  <c r="BY45" i="1"/>
  <c r="CD34" i="1"/>
  <c r="CC34" i="1"/>
  <c r="CB34" i="1"/>
  <c r="CA34" i="1"/>
  <c r="BZ34" i="1"/>
  <c r="CB32" i="1"/>
  <c r="BX3" i="1"/>
  <c r="BY3" i="1"/>
  <c r="CA3" i="1"/>
  <c r="CC15" i="1"/>
  <c r="CB15" i="1"/>
  <c r="CA15" i="1"/>
  <c r="AR8" i="1"/>
  <c r="AR13" i="1" s="1"/>
  <c r="Y38" i="1"/>
  <c r="X38" i="1"/>
  <c r="Y37" i="1"/>
  <c r="X37" i="1"/>
  <c r="CD40" i="1" l="1"/>
  <c r="CD43" i="1"/>
  <c r="CD38" i="1"/>
  <c r="CD42" i="1"/>
  <c r="CD39" i="1"/>
  <c r="CD41" i="1"/>
  <c r="Y39" i="1"/>
  <c r="J23" i="2"/>
  <c r="Y169" i="1" s="1"/>
  <c r="CM15" i="1" s="1"/>
  <c r="CA38" i="1"/>
  <c r="CB39" i="1"/>
  <c r="CE39" i="1"/>
  <c r="CE38" i="1"/>
  <c r="BZ40" i="1"/>
  <c r="CA41" i="1"/>
  <c r="CE40" i="1"/>
  <c r="CE41" i="1"/>
  <c r="CA42" i="1"/>
  <c r="CE42" i="1"/>
  <c r="CC43" i="1"/>
  <c r="BZ41" i="1"/>
  <c r="BZ42" i="1"/>
  <c r="CB38" i="1"/>
  <c r="BZ39" i="1"/>
  <c r="CA40" i="1"/>
  <c r="CC39" i="1"/>
  <c r="CC40" i="1"/>
  <c r="CC41" i="1"/>
  <c r="CB42" i="1"/>
  <c r="BZ43" i="1"/>
  <c r="CB41" i="1"/>
  <c r="CB43" i="1"/>
  <c r="CC38" i="1"/>
  <c r="CA39" i="1"/>
  <c r="CB40" i="1"/>
  <c r="CC42" i="1"/>
  <c r="CA43" i="1"/>
  <c r="CE43" i="1"/>
  <c r="BZ38" i="1"/>
  <c r="CA24" i="1"/>
  <c r="CB20" i="1"/>
  <c r="CC22" i="1"/>
  <c r="CC23" i="1"/>
  <c r="CC24" i="1"/>
  <c r="CA20" i="1"/>
  <c r="CB22" i="1"/>
  <c r="CB23" i="1"/>
  <c r="CB24" i="1"/>
  <c r="CC20" i="1"/>
  <c r="BZ23" i="1"/>
  <c r="BZ24" i="1"/>
  <c r="BZ20" i="1"/>
  <c r="BZ22" i="1"/>
  <c r="CA23" i="1"/>
  <c r="CA22" i="1"/>
  <c r="AM20" i="2"/>
  <c r="AM19" i="2"/>
  <c r="AM18" i="2"/>
  <c r="AM17" i="2"/>
  <c r="AM16" i="2"/>
  <c r="AM15" i="2"/>
  <c r="AM30" i="2"/>
  <c r="AM29" i="2"/>
  <c r="AM28" i="2"/>
  <c r="AM27" i="2"/>
  <c r="AM26" i="2"/>
  <c r="BZ37" i="1" l="1"/>
  <c r="CA37" i="1"/>
  <c r="CD37" i="1"/>
  <c r="CC37" i="1"/>
  <c r="CB37" i="1"/>
  <c r="CE37" i="1"/>
  <c r="CC19" i="1"/>
  <c r="BZ19" i="1"/>
  <c r="CA19" i="1"/>
  <c r="CB19" i="1"/>
  <c r="BM16" i="1"/>
  <c r="BN16" i="1" s="1"/>
  <c r="BM15" i="1"/>
  <c r="BX37" i="1" l="1"/>
  <c r="BZ45" i="1" s="1"/>
  <c r="Y45" i="1" s="1"/>
  <c r="BX19" i="1"/>
  <c r="BZ3" i="1" s="1"/>
  <c r="Y44" i="1" s="1"/>
  <c r="BP17" i="1" l="1"/>
  <c r="Y16" i="1"/>
  <c r="M47" i="1"/>
  <c r="Y47" i="1"/>
  <c r="M48" i="1"/>
  <c r="W51" i="1"/>
  <c r="W52" i="1"/>
  <c r="BE16" i="1" s="1"/>
  <c r="G113" i="1" l="1"/>
  <c r="F50" i="2" l="1"/>
  <c r="BE15" i="1"/>
  <c r="F51" i="2" s="1"/>
  <c r="F59" i="2" s="1"/>
  <c r="G85" i="2"/>
  <c r="D84" i="2" s="1"/>
  <c r="D85" i="2" s="1"/>
  <c r="F84" i="2"/>
  <c r="F8" i="2"/>
  <c r="F46" i="2" s="1"/>
  <c r="F12" i="2"/>
  <c r="F14" i="2"/>
  <c r="G15" i="2"/>
  <c r="G16" i="2"/>
  <c r="G17" i="2"/>
  <c r="G18" i="2"/>
  <c r="G20" i="2"/>
  <c r="F23" i="2"/>
  <c r="G26" i="2"/>
  <c r="I26" i="2"/>
  <c r="K26" i="2"/>
  <c r="R26" i="2"/>
  <c r="R30" i="2" s="1"/>
  <c r="S26" i="2"/>
  <c r="S30" i="2" s="1"/>
  <c r="T26" i="2"/>
  <c r="U26" i="2"/>
  <c r="U30" i="2" s="1"/>
  <c r="V26" i="2"/>
  <c r="V30" i="2" s="1"/>
  <c r="W26" i="2"/>
  <c r="W30" i="2" s="1"/>
  <c r="X26" i="2"/>
  <c r="Y26" i="2"/>
  <c r="Y30" i="2" s="1"/>
  <c r="Z26" i="2"/>
  <c r="AA26" i="2"/>
  <c r="AB30" i="2" s="1"/>
  <c r="AB26" i="2"/>
  <c r="AC26" i="2"/>
  <c r="AC30" i="2" s="1"/>
  <c r="AD26" i="2"/>
  <c r="AE26" i="2"/>
  <c r="AF26" i="2"/>
  <c r="AG26" i="2"/>
  <c r="AG30" i="2" s="1"/>
  <c r="AH26" i="2"/>
  <c r="AH30" i="2" s="1"/>
  <c r="AI26" i="2"/>
  <c r="AI30" i="2" s="1"/>
  <c r="AJ26" i="2"/>
  <c r="G27" i="2"/>
  <c r="I27" i="2"/>
  <c r="K27" i="2"/>
  <c r="G28" i="2"/>
  <c r="I28" i="2"/>
  <c r="K28" i="2"/>
  <c r="G29" i="2"/>
  <c r="I29" i="2"/>
  <c r="K29" i="2"/>
  <c r="G30" i="2"/>
  <c r="I30" i="2"/>
  <c r="K30" i="2"/>
  <c r="T30" i="2"/>
  <c r="AF30" i="2"/>
  <c r="O35" i="2"/>
  <c r="F31" i="2" s="1"/>
  <c r="F41" i="2"/>
  <c r="G41" i="2"/>
  <c r="I41" i="2"/>
  <c r="K41" i="2"/>
  <c r="AM41" i="2"/>
  <c r="AN41" i="2"/>
  <c r="F49" i="2"/>
  <c r="L57" i="2"/>
  <c r="E68" i="2"/>
  <c r="C75" i="2"/>
  <c r="AK76" i="2"/>
  <c r="AK77" i="2"/>
  <c r="Y106" i="2"/>
  <c r="Q197" i="2"/>
  <c r="R199" i="2"/>
  <c r="S199" i="2" s="1"/>
  <c r="BE9" i="1"/>
  <c r="BG43" i="1"/>
  <c r="BG44" i="1"/>
  <c r="G122" i="1"/>
  <c r="M122" i="1"/>
  <c r="G123" i="1"/>
  <c r="M123" i="1"/>
  <c r="G124" i="1"/>
  <c r="AR23" i="1" s="1"/>
  <c r="G125" i="1"/>
  <c r="G20" i="1" s="1"/>
  <c r="G142" i="1"/>
  <c r="G143" i="1" s="1"/>
  <c r="G144" i="1" s="1"/>
  <c r="G145" i="1" s="1"/>
  <c r="G146" i="1" s="1"/>
  <c r="G147" i="1" s="1"/>
  <c r="G148" i="1" s="1"/>
  <c r="G149" i="1" s="1"/>
  <c r="Y147" i="1"/>
  <c r="AA147" i="1"/>
  <c r="Y154" i="1"/>
  <c r="AA154" i="1"/>
  <c r="A23" i="2" l="1"/>
  <c r="M169" i="1"/>
  <c r="CK15" i="1" s="1"/>
  <c r="Y140" i="1"/>
  <c r="Y138" i="1" s="1"/>
  <c r="AU27" i="1" s="1"/>
  <c r="Z72" i="2" s="1"/>
  <c r="W140" i="1"/>
  <c r="M140" i="1"/>
  <c r="AA140" i="1"/>
  <c r="AA138" i="1" s="1"/>
  <c r="AX27" i="1" s="1"/>
  <c r="U123" i="1"/>
  <c r="D71" i="2"/>
  <c r="AR9" i="1"/>
  <c r="W47" i="1"/>
  <c r="AJ30" i="2"/>
  <c r="AE30" i="2"/>
  <c r="AA30" i="2"/>
  <c r="AA32" i="2" s="1"/>
  <c r="X30" i="2"/>
  <c r="X32" i="2" s="1"/>
  <c r="U122" i="1"/>
  <c r="AD49" i="2"/>
  <c r="AG49" i="2"/>
  <c r="W49" i="2"/>
  <c r="Y49" i="2"/>
  <c r="AF49" i="2"/>
  <c r="R49" i="2"/>
  <c r="U49" i="2"/>
  <c r="AB49" i="2"/>
  <c r="AE49" i="2"/>
  <c r="Z49" i="2"/>
  <c r="G13" i="2"/>
  <c r="BC41" i="1" s="1"/>
  <c r="Q49" i="2"/>
  <c r="T49" i="2"/>
  <c r="AA49" i="2"/>
  <c r="G86" i="2"/>
  <c r="U32" i="2"/>
  <c r="S32" i="2"/>
  <c r="AD32" i="2"/>
  <c r="Y32" i="2"/>
  <c r="T32" i="2"/>
  <c r="AJ32" i="2"/>
  <c r="AI32" i="2"/>
  <c r="AF32" i="2"/>
  <c r="AE32" i="2"/>
  <c r="R32" i="2"/>
  <c r="W32" i="2"/>
  <c r="V32" i="2"/>
  <c r="AC32" i="2"/>
  <c r="AB32" i="2"/>
  <c r="AH32" i="2"/>
  <c r="AG32" i="2"/>
  <c r="G150" i="1"/>
  <c r="G151" i="1" s="1"/>
  <c r="AD66" i="2"/>
  <c r="R66" i="2"/>
  <c r="AE66" i="2"/>
  <c r="AG66" i="2"/>
  <c r="Q66" i="2"/>
  <c r="AB66" i="2"/>
  <c r="V66" i="2"/>
  <c r="W66" i="2"/>
  <c r="Y66" i="2"/>
  <c r="T66" i="2"/>
  <c r="AA66" i="2"/>
  <c r="G24" i="2"/>
  <c r="BC40" i="1" s="1"/>
  <c r="AC66" i="2"/>
  <c r="X66" i="2"/>
  <c r="Z66" i="2"/>
  <c r="S66" i="2"/>
  <c r="U66" i="2"/>
  <c r="AF66" i="2"/>
  <c r="S49" i="2"/>
  <c r="X49" i="2"/>
  <c r="AC49" i="2"/>
  <c r="V49" i="2"/>
  <c r="S197" i="2"/>
  <c r="T199" i="2"/>
  <c r="AD30" i="2"/>
  <c r="R197" i="2"/>
  <c r="Z30" i="2"/>
  <c r="Z32" i="2" s="1"/>
  <c r="Y74" i="2" l="1"/>
  <c r="AD72" i="2"/>
  <c r="S75" i="2"/>
  <c r="W76" i="2"/>
  <c r="R73" i="2"/>
  <c r="X76" i="2"/>
  <c r="AA76" i="2"/>
  <c r="AG76" i="2"/>
  <c r="V78" i="2"/>
  <c r="R78" i="2"/>
  <c r="X77" i="2"/>
  <c r="V76" i="2"/>
  <c r="AE77" i="2"/>
  <c r="T74" i="2"/>
  <c r="V77" i="2"/>
  <c r="AC73" i="2"/>
  <c r="AG72" i="2"/>
  <c r="U72" i="2"/>
  <c r="W78" i="2"/>
  <c r="AC78" i="2"/>
  <c r="R75" i="2"/>
  <c r="X78" i="2"/>
  <c r="AA74" i="2"/>
  <c r="AD74" i="2"/>
  <c r="R74" i="2"/>
  <c r="W73" i="2"/>
  <c r="AB72" i="2"/>
  <c r="Q76" i="2"/>
  <c r="S72" i="2"/>
  <c r="Y75" i="2"/>
  <c r="F86" i="2"/>
  <c r="C74" i="2"/>
  <c r="D74" i="2" s="1"/>
  <c r="F74" i="2" s="1"/>
  <c r="F75" i="2" s="1"/>
  <c r="F80" i="2" s="1"/>
  <c r="AD78" i="2"/>
  <c r="Q77" i="2"/>
  <c r="T75" i="2"/>
  <c r="X73" i="2"/>
  <c r="Z78" i="2"/>
  <c r="AE76" i="2"/>
  <c r="Z74" i="2"/>
  <c r="AC72" i="2"/>
  <c r="AF77" i="2"/>
  <c r="AA75" i="2"/>
  <c r="AE73" i="2"/>
  <c r="AE78" i="2"/>
  <c r="AD76" i="2"/>
  <c r="AG74" i="2"/>
  <c r="S73" i="2"/>
  <c r="AG78" i="2"/>
  <c r="Q78" i="2"/>
  <c r="S77" i="2"/>
  <c r="U76" i="2"/>
  <c r="V75" i="2"/>
  <c r="X74" i="2"/>
  <c r="V73" i="2"/>
  <c r="W72" i="2"/>
  <c r="AB78" i="2"/>
  <c r="Z77" i="2"/>
  <c r="AB76" i="2"/>
  <c r="AC75" i="2"/>
  <c r="AE74" i="2"/>
  <c r="AG73" i="2"/>
  <c r="Q73" i="2"/>
  <c r="R72" i="2"/>
  <c r="Y77" i="2"/>
  <c r="AB75" i="2"/>
  <c r="AF73" i="2"/>
  <c r="Q72" i="2"/>
  <c r="U77" i="2"/>
  <c r="X75" i="2"/>
  <c r="T73" i="2"/>
  <c r="S78" i="2"/>
  <c r="R76" i="2"/>
  <c r="U74" i="2"/>
  <c r="X72" i="2"/>
  <c r="T77" i="2"/>
  <c r="W75" i="2"/>
  <c r="AA73" i="2"/>
  <c r="BJ11" i="1"/>
  <c r="U78" i="2"/>
  <c r="W77" i="2"/>
  <c r="Y76" i="2"/>
  <c r="Z75" i="2"/>
  <c r="AB74" i="2"/>
  <c r="Z73" i="2"/>
  <c r="AA72" i="2"/>
  <c r="AF78" i="2"/>
  <c r="AD77" i="2"/>
  <c r="AF76" i="2"/>
  <c r="AG75" i="2"/>
  <c r="Q75" i="2"/>
  <c r="S74" i="2"/>
  <c r="U73" i="2"/>
  <c r="V72" i="2"/>
  <c r="R34" i="2"/>
  <c r="F32" i="2" s="1"/>
  <c r="Y14" i="1" s="1"/>
  <c r="AG77" i="2"/>
  <c r="S76" i="2"/>
  <c r="V74" i="2"/>
  <c r="Y72" i="2"/>
  <c r="AC77" i="2"/>
  <c r="AF75" i="2"/>
  <c r="AB73" i="2"/>
  <c r="AA78" i="2"/>
  <c r="Z76" i="2"/>
  <c r="AC74" i="2"/>
  <c r="AF72" i="2"/>
  <c r="AB77" i="2"/>
  <c r="AE75" i="2"/>
  <c r="Q74" i="2"/>
  <c r="T72" i="2"/>
  <c r="Y78" i="2"/>
  <c r="AA77" i="2"/>
  <c r="AC76" i="2"/>
  <c r="AD75" i="2"/>
  <c r="AF74" i="2"/>
  <c r="AD73" i="2"/>
  <c r="AE72" i="2"/>
  <c r="T78" i="2"/>
  <c r="R77" i="2"/>
  <c r="T76" i="2"/>
  <c r="U75" i="2"/>
  <c r="W74" i="2"/>
  <c r="Y73" i="2"/>
  <c r="AH49" i="2"/>
  <c r="AH66" i="2"/>
  <c r="R88" i="2"/>
  <c r="V88" i="2"/>
  <c r="Z88" i="2"/>
  <c r="AD88" i="2"/>
  <c r="Q89" i="2"/>
  <c r="U89" i="2"/>
  <c r="Y89" i="2"/>
  <c r="AC89" i="2"/>
  <c r="AG89" i="2"/>
  <c r="T90" i="2"/>
  <c r="X90" i="2"/>
  <c r="AB90" i="2"/>
  <c r="AF90" i="2"/>
  <c r="S91" i="2"/>
  <c r="W91" i="2"/>
  <c r="AA91" i="2"/>
  <c r="AE91" i="2"/>
  <c r="R92" i="2"/>
  <c r="V92" i="2"/>
  <c r="Z92" i="2"/>
  <c r="AD92" i="2"/>
  <c r="Q93" i="2"/>
  <c r="U93" i="2"/>
  <c r="Y93" i="2"/>
  <c r="AC93" i="2"/>
  <c r="AG93" i="2"/>
  <c r="T94" i="2"/>
  <c r="X94" i="2"/>
  <c r="AB94" i="2"/>
  <c r="AF94" i="2"/>
  <c r="S88" i="2"/>
  <c r="W88" i="2"/>
  <c r="AA88" i="2"/>
  <c r="AE88" i="2"/>
  <c r="R89" i="2"/>
  <c r="V89" i="2"/>
  <c r="Z89" i="2"/>
  <c r="AD89" i="2"/>
  <c r="Q90" i="2"/>
  <c r="U90" i="2"/>
  <c r="Y90" i="2"/>
  <c r="AC90" i="2"/>
  <c r="AG90" i="2"/>
  <c r="T91" i="2"/>
  <c r="X91" i="2"/>
  <c r="AB91" i="2"/>
  <c r="AF91" i="2"/>
  <c r="S92" i="2"/>
  <c r="W92" i="2"/>
  <c r="AA92" i="2"/>
  <c r="AE92" i="2"/>
  <c r="R93" i="2"/>
  <c r="V93" i="2"/>
  <c r="Z93" i="2"/>
  <c r="AD93" i="2"/>
  <c r="Q94" i="2"/>
  <c r="U94" i="2"/>
  <c r="Y94" i="2"/>
  <c r="AC94" i="2"/>
  <c r="AG94" i="2"/>
  <c r="U88" i="2"/>
  <c r="AC88" i="2"/>
  <c r="T89" i="2"/>
  <c r="AB89" i="2"/>
  <c r="S90" i="2"/>
  <c r="AA90" i="2"/>
  <c r="R91" i="2"/>
  <c r="Z91" i="2"/>
  <c r="Q92" i="2"/>
  <c r="Y92" i="2"/>
  <c r="AG92" i="2"/>
  <c r="X93" i="2"/>
  <c r="AF93" i="2"/>
  <c r="W94" i="2"/>
  <c r="AE94" i="2"/>
  <c r="Q88" i="2"/>
  <c r="Y88" i="2"/>
  <c r="AG88" i="2"/>
  <c r="X89" i="2"/>
  <c r="AF89" i="2"/>
  <c r="W90" i="2"/>
  <c r="AE90" i="2"/>
  <c r="V91" i="2"/>
  <c r="AD91" i="2"/>
  <c r="U92" i="2"/>
  <c r="AC92" i="2"/>
  <c r="T93" i="2"/>
  <c r="AB93" i="2"/>
  <c r="S94" i="2"/>
  <c r="AA94" i="2"/>
  <c r="X88" i="2"/>
  <c r="AF88" i="2"/>
  <c r="W89" i="2"/>
  <c r="AE89" i="2"/>
  <c r="V90" i="2"/>
  <c r="AD90" i="2"/>
  <c r="U91" i="2"/>
  <c r="AC91" i="2"/>
  <c r="T92" i="2"/>
  <c r="AB92" i="2"/>
  <c r="S93" i="2"/>
  <c r="AA93" i="2"/>
  <c r="R94" i="2"/>
  <c r="Z94" i="2"/>
  <c r="BJ14" i="1"/>
  <c r="T88" i="2"/>
  <c r="AB88" i="2"/>
  <c r="S89" i="2"/>
  <c r="AA89" i="2"/>
  <c r="R90" i="2"/>
  <c r="Z90" i="2"/>
  <c r="Q91" i="2"/>
  <c r="Y91" i="2"/>
  <c r="AG91" i="2"/>
  <c r="X92" i="2"/>
  <c r="AF92" i="2"/>
  <c r="W93" i="2"/>
  <c r="AE93" i="2"/>
  <c r="V94" i="2"/>
  <c r="AD94" i="2"/>
  <c r="G152" i="1"/>
  <c r="W147" i="1" s="1"/>
  <c r="T197" i="2"/>
  <c r="U199" i="2"/>
  <c r="D75" i="2" l="1"/>
  <c r="D77" i="2" s="1"/>
  <c r="D80" i="2" s="1"/>
  <c r="D72" i="2" s="1"/>
  <c r="F78" i="2"/>
  <c r="F73" i="2" s="1"/>
  <c r="C4" i="1" s="1"/>
  <c r="F77" i="2"/>
  <c r="D81" i="2" s="1"/>
  <c r="F57" i="2"/>
  <c r="G153" i="1"/>
  <c r="G154" i="1" s="1"/>
  <c r="G155" i="1" s="1"/>
  <c r="U197" i="2"/>
  <c r="V199" i="2"/>
  <c r="G156" i="1" l="1"/>
  <c r="W154" i="1"/>
  <c r="W138" i="1" s="1"/>
  <c r="AR27" i="1" s="1"/>
  <c r="F60" i="2"/>
  <c r="M147" i="1"/>
  <c r="W199" i="2"/>
  <c r="V197" i="2"/>
  <c r="AE56" i="2" l="1"/>
  <c r="AE64" i="2" s="1"/>
  <c r="U57" i="2"/>
  <c r="U65" i="2" s="1"/>
  <c r="AD60" i="2"/>
  <c r="AD68" i="2" s="1"/>
  <c r="R59" i="2"/>
  <c r="R67" i="2" s="1"/>
  <c r="R61" i="2"/>
  <c r="R69" i="2" s="1"/>
  <c r="V57" i="2"/>
  <c r="V65" i="2" s="1"/>
  <c r="AG61" i="2"/>
  <c r="AG69" i="2" s="1"/>
  <c r="BJ10" i="1"/>
  <c r="T55" i="2"/>
  <c r="T63" i="2" s="1"/>
  <c r="W55" i="2"/>
  <c r="W63" i="2" s="1"/>
  <c r="AA56" i="2"/>
  <c r="AA64" i="2" s="1"/>
  <c r="AD56" i="2"/>
  <c r="AD64" i="2" s="1"/>
  <c r="S55" i="2"/>
  <c r="S63" i="2" s="1"/>
  <c r="AA61" i="2"/>
  <c r="AA69" i="2" s="1"/>
  <c r="R55" i="2"/>
  <c r="R63" i="2" s="1"/>
  <c r="AB58" i="2"/>
  <c r="W60" i="2"/>
  <c r="W68" i="2" s="1"/>
  <c r="AG57" i="2"/>
  <c r="AG65" i="2" s="1"/>
  <c r="Y60" i="2"/>
  <c r="Y68" i="2" s="1"/>
  <c r="S57" i="2"/>
  <c r="S65" i="2" s="1"/>
  <c r="AB60" i="2"/>
  <c r="AB68" i="2" s="1"/>
  <c r="AD57" i="2"/>
  <c r="AD65" i="2" s="1"/>
  <c r="Z61" i="2"/>
  <c r="Z69" i="2" s="1"/>
  <c r="W59" i="2"/>
  <c r="W67" i="2" s="1"/>
  <c r="S56" i="2"/>
  <c r="S64" i="2" s="1"/>
  <c r="AD58" i="2"/>
  <c r="Z57" i="2"/>
  <c r="Z65" i="2" s="1"/>
  <c r="W58" i="2"/>
  <c r="S58" i="2"/>
  <c r="T61" i="2"/>
  <c r="T69" i="2" s="1"/>
  <c r="AC59" i="2"/>
  <c r="AC67" i="2" s="1"/>
  <c r="S59" i="2"/>
  <c r="S67" i="2" s="1"/>
  <c r="V55" i="2"/>
  <c r="V63" i="2" s="1"/>
  <c r="AG55" i="2"/>
  <c r="AG63" i="2" s="1"/>
  <c r="U56" i="2"/>
  <c r="U64" i="2" s="1"/>
  <c r="Z58" i="2"/>
  <c r="AA55" i="2"/>
  <c r="AA63" i="2" s="1"/>
  <c r="T56" i="2"/>
  <c r="T64" i="2" s="1"/>
  <c r="T58" i="2"/>
  <c r="AD59" i="2"/>
  <c r="AD67" i="2" s="1"/>
  <c r="Q58" i="2"/>
  <c r="AA60" i="2"/>
  <c r="AA68" i="2" s="1"/>
  <c r="AC57" i="2"/>
  <c r="AC65" i="2" s="1"/>
  <c r="AA57" i="2"/>
  <c r="AA65" i="2" s="1"/>
  <c r="R60" i="2"/>
  <c r="R68" i="2" s="1"/>
  <c r="S61" i="2"/>
  <c r="S69" i="2" s="1"/>
  <c r="AC56" i="2"/>
  <c r="AC64" i="2" s="1"/>
  <c r="Q59" i="2"/>
  <c r="Q67" i="2" s="1"/>
  <c r="AA59" i="2"/>
  <c r="AA67" i="2" s="1"/>
  <c r="T60" i="2"/>
  <c r="T68" i="2" s="1"/>
  <c r="U61" i="2"/>
  <c r="U69" i="2" s="1"/>
  <c r="AG56" i="2"/>
  <c r="AG64" i="2" s="1"/>
  <c r="X59" i="2"/>
  <c r="X67" i="2" s="1"/>
  <c r="Z59" i="2"/>
  <c r="Z67" i="2" s="1"/>
  <c r="U59" i="2"/>
  <c r="U67" i="2" s="1"/>
  <c r="W56" i="2"/>
  <c r="W64" i="2" s="1"/>
  <c r="AE55" i="2"/>
  <c r="AE63" i="2" s="1"/>
  <c r="AB59" i="2"/>
  <c r="AB67" i="2" s="1"/>
  <c r="AF59" i="2"/>
  <c r="AF67" i="2" s="1"/>
  <c r="AC55" i="2"/>
  <c r="AC63" i="2" s="1"/>
  <c r="W61" i="2"/>
  <c r="W69" i="2" s="1"/>
  <c r="R56" i="2"/>
  <c r="R64" i="2" s="1"/>
  <c r="Q60" i="2"/>
  <c r="Q68" i="2" s="1"/>
  <c r="S60" i="2"/>
  <c r="S68" i="2" s="1"/>
  <c r="X60" i="2"/>
  <c r="X68" i="2" s="1"/>
  <c r="Y61" i="2"/>
  <c r="Y69" i="2" s="1"/>
  <c r="T59" i="2"/>
  <c r="T67" i="2" s="1"/>
  <c r="Y58" i="2"/>
  <c r="AG59" i="2"/>
  <c r="AG67" i="2" s="1"/>
  <c r="AE61" i="2"/>
  <c r="AE69" i="2" s="1"/>
  <c r="Y59" i="2"/>
  <c r="Y67" i="2" s="1"/>
  <c r="V58" i="2"/>
  <c r="X61" i="2"/>
  <c r="X69" i="2" s="1"/>
  <c r="AE59" i="2"/>
  <c r="AE67" i="2" s="1"/>
  <c r="Q56" i="2"/>
  <c r="Q64" i="2" s="1"/>
  <c r="U55" i="2"/>
  <c r="U63" i="2" s="1"/>
  <c r="Z56" i="2"/>
  <c r="Z64" i="2" s="1"/>
  <c r="AG60" i="2"/>
  <c r="AG68" i="2" s="1"/>
  <c r="Z55" i="2"/>
  <c r="Z63" i="2" s="1"/>
  <c r="AF55" i="2"/>
  <c r="AF63" i="2" s="1"/>
  <c r="AE60" i="2"/>
  <c r="AE68" i="2" s="1"/>
  <c r="T57" i="2"/>
  <c r="T65" i="2" s="1"/>
  <c r="V61" i="2"/>
  <c r="V69" i="2" s="1"/>
  <c r="R58" i="2"/>
  <c r="Q55" i="2"/>
  <c r="Q63" i="2" s="1"/>
  <c r="X56" i="2"/>
  <c r="X64" i="2" s="1"/>
  <c r="U58" i="2"/>
  <c r="AC58" i="2"/>
  <c r="Y55" i="2"/>
  <c r="Y63" i="2" s="1"/>
  <c r="Q61" i="2"/>
  <c r="Q69" i="2" s="1"/>
  <c r="AF60" i="2"/>
  <c r="AF68" i="2" s="1"/>
  <c r="AB61" i="2"/>
  <c r="AB69" i="2" s="1"/>
  <c r="Q57" i="2"/>
  <c r="Q65" i="2" s="1"/>
  <c r="AB56" i="2"/>
  <c r="AB64" i="2" s="1"/>
  <c r="AA58" i="2"/>
  <c r="W57" i="2"/>
  <c r="W65" i="2" s="1"/>
  <c r="AF58" i="2"/>
  <c r="V56" i="2"/>
  <c r="V64" i="2" s="1"/>
  <c r="Y57" i="2"/>
  <c r="Y65" i="2" s="1"/>
  <c r="AF57" i="2"/>
  <c r="AF65" i="2" s="1"/>
  <c r="AD61" i="2"/>
  <c r="AD69" i="2" s="1"/>
  <c r="U60" i="2"/>
  <c r="U68" i="2" s="1"/>
  <c r="X57" i="2"/>
  <c r="X65" i="2" s="1"/>
  <c r="Z60" i="2"/>
  <c r="Z68" i="2" s="1"/>
  <c r="X58" i="2"/>
  <c r="AG58" i="2"/>
  <c r="AE58" i="2"/>
  <c r="AC60" i="2"/>
  <c r="AC68" i="2" s="1"/>
  <c r="AD55" i="2"/>
  <c r="AD63" i="2" s="1"/>
  <c r="AF56" i="2"/>
  <c r="AF64" i="2" s="1"/>
  <c r="X55" i="2"/>
  <c r="X63" i="2" s="1"/>
  <c r="AC61" i="2"/>
  <c r="AC69" i="2" s="1"/>
  <c r="AE57" i="2"/>
  <c r="AE65" i="2" s="1"/>
  <c r="AF61" i="2"/>
  <c r="AF69" i="2" s="1"/>
  <c r="V60" i="2"/>
  <c r="V68" i="2" s="1"/>
  <c r="AB57" i="2"/>
  <c r="AB65" i="2" s="1"/>
  <c r="Y56" i="2"/>
  <c r="Y64" i="2" s="1"/>
  <c r="R57" i="2"/>
  <c r="R65" i="2" s="1"/>
  <c r="V59" i="2"/>
  <c r="V67" i="2" s="1"/>
  <c r="AB55" i="2"/>
  <c r="AB63" i="2" s="1"/>
  <c r="G157" i="1"/>
  <c r="M154" i="1"/>
  <c r="M138" i="1" s="1"/>
  <c r="G24" i="1" s="1"/>
  <c r="W197" i="2"/>
  <c r="X199" i="2"/>
  <c r="X40" i="2" l="1"/>
  <c r="AF38" i="2"/>
  <c r="AF47" i="2" s="1"/>
  <c r="AA38" i="2"/>
  <c r="AA47" i="2" s="1"/>
  <c r="V41" i="2"/>
  <c r="V50" i="2" s="1"/>
  <c r="U37" i="2"/>
  <c r="U46" i="2" s="1"/>
  <c r="AG41" i="2"/>
  <c r="AG50" i="2" s="1"/>
  <c r="Z42" i="2"/>
  <c r="Z51" i="2" s="1"/>
  <c r="W40" i="2"/>
  <c r="AC43" i="2"/>
  <c r="AC52" i="2" s="1"/>
  <c r="AE38" i="2"/>
  <c r="AE47" i="2" s="1"/>
  <c r="V40" i="2"/>
  <c r="BI10" i="1"/>
  <c r="Y42" i="2"/>
  <c r="Y51" i="2" s="1"/>
  <c r="W41" i="2"/>
  <c r="W50" i="2" s="1"/>
  <c r="U43" i="2"/>
  <c r="U52" i="2" s="1"/>
  <c r="AG38" i="2"/>
  <c r="AG47" i="2" s="1"/>
  <c r="AE40" i="2"/>
  <c r="Z41" i="2"/>
  <c r="Z50" i="2" s="1"/>
  <c r="Y41" i="2"/>
  <c r="Y50" i="2" s="1"/>
  <c r="AA37" i="2"/>
  <c r="AA46" i="2" s="1"/>
  <c r="S38" i="2"/>
  <c r="S47" i="2" s="1"/>
  <c r="T37" i="2"/>
  <c r="T46" i="2" s="1"/>
  <c r="Z38" i="2"/>
  <c r="Z47" i="2" s="1"/>
  <c r="Q40" i="2"/>
  <c r="U39" i="2"/>
  <c r="U48" i="2" s="1"/>
  <c r="AA43" i="2"/>
  <c r="AA52" i="2" s="1"/>
  <c r="T39" i="2"/>
  <c r="T48" i="2" s="1"/>
  <c r="W43" i="2"/>
  <c r="W52" i="2" s="1"/>
  <c r="AD41" i="2"/>
  <c r="AD50" i="2" s="1"/>
  <c r="W42" i="2"/>
  <c r="W51" i="2" s="1"/>
  <c r="V38" i="2"/>
  <c r="V47" i="2" s="1"/>
  <c r="AD37" i="2"/>
  <c r="AD46" i="2" s="1"/>
  <c r="T42" i="2"/>
  <c r="T51" i="2" s="1"/>
  <c r="V39" i="2"/>
  <c r="V48" i="2" s="1"/>
  <c r="AG39" i="2"/>
  <c r="AG48" i="2" s="1"/>
  <c r="T43" i="2"/>
  <c r="T52" i="2" s="1"/>
  <c r="AC39" i="2"/>
  <c r="AC48" i="2" s="1"/>
  <c r="W39" i="2"/>
  <c r="W48" i="2" s="1"/>
  <c r="S37" i="2"/>
  <c r="S46" i="2" s="1"/>
  <c r="U42" i="2"/>
  <c r="U51" i="2" s="1"/>
  <c r="Z37" i="2"/>
  <c r="Z46" i="2" s="1"/>
  <c r="Q42" i="2"/>
  <c r="Q51" i="2" s="1"/>
  <c r="AA41" i="2"/>
  <c r="AA50" i="2" s="1"/>
  <c r="AF39" i="2"/>
  <c r="AF48" i="2" s="1"/>
  <c r="AD38" i="2"/>
  <c r="AD47" i="2" s="1"/>
  <c r="W38" i="2"/>
  <c r="W47" i="2" s="1"/>
  <c r="AB43" i="2"/>
  <c r="AB52" i="2" s="1"/>
  <c r="X43" i="2"/>
  <c r="X52" i="2" s="1"/>
  <c r="AD40" i="2"/>
  <c r="AC40" i="2"/>
  <c r="X42" i="2"/>
  <c r="X51" i="2" s="1"/>
  <c r="AF37" i="2"/>
  <c r="AF46" i="2" s="1"/>
  <c r="Y37" i="2"/>
  <c r="Y46" i="2" s="1"/>
  <c r="Y39" i="2"/>
  <c r="Y48" i="2" s="1"/>
  <c r="T38" i="2"/>
  <c r="T47" i="2" s="1"/>
  <c r="S41" i="2"/>
  <c r="S50" i="2" s="1"/>
  <c r="AE37" i="2"/>
  <c r="AE46" i="2" s="1"/>
  <c r="R41" i="2"/>
  <c r="R50" i="2" s="1"/>
  <c r="X39" i="2"/>
  <c r="X48" i="2" s="1"/>
  <c r="Q37" i="2"/>
  <c r="Q46" i="2" s="1"/>
  <c r="T41" i="2"/>
  <c r="T50" i="2" s="1"/>
  <c r="AG40" i="2"/>
  <c r="AB42" i="2"/>
  <c r="AB51" i="2" s="1"/>
  <c r="U41" i="2"/>
  <c r="U50" i="2" s="1"/>
  <c r="AE41" i="2"/>
  <c r="AE50" i="2" s="1"/>
  <c r="AD43" i="2"/>
  <c r="AD52" i="2" s="1"/>
  <c r="U38" i="2"/>
  <c r="U47" i="2" s="1"/>
  <c r="AD39" i="2"/>
  <c r="AD48" i="2" s="1"/>
  <c r="AG43" i="2"/>
  <c r="AG52" i="2" s="1"/>
  <c r="U40" i="2"/>
  <c r="X41" i="2"/>
  <c r="X50" i="2" s="1"/>
  <c r="R37" i="2"/>
  <c r="R46" i="2" s="1"/>
  <c r="Y43" i="2"/>
  <c r="Y52" i="2" s="1"/>
  <c r="AE43" i="2"/>
  <c r="AE52" i="2" s="1"/>
  <c r="S43" i="2"/>
  <c r="S52" i="2" s="1"/>
  <c r="Q38" i="2"/>
  <c r="Q47" i="2" s="1"/>
  <c r="AB39" i="2"/>
  <c r="AB48" i="2" s="1"/>
  <c r="AB37" i="2"/>
  <c r="AB46" i="2" s="1"/>
  <c r="Z40" i="2"/>
  <c r="AB41" i="2"/>
  <c r="AB50" i="2" s="1"/>
  <c r="S39" i="2"/>
  <c r="S48" i="2" s="1"/>
  <c r="W37" i="2"/>
  <c r="W46" i="2" s="1"/>
  <c r="R43" i="2"/>
  <c r="R52" i="2" s="1"/>
  <c r="Q39" i="2"/>
  <c r="Q48" i="2" s="1"/>
  <c r="S40" i="2"/>
  <c r="Q43" i="2"/>
  <c r="Q52" i="2" s="1"/>
  <c r="Y40" i="2"/>
  <c r="AC37" i="2"/>
  <c r="AC46" i="2" s="1"/>
  <c r="AB40" i="2"/>
  <c r="AC38" i="2"/>
  <c r="AC47" i="2" s="1"/>
  <c r="AF42" i="2"/>
  <c r="AF51" i="2" s="1"/>
  <c r="T40" i="2"/>
  <c r="Z39" i="2"/>
  <c r="Z48" i="2" s="1"/>
  <c r="AE42" i="2"/>
  <c r="AE51" i="2" s="1"/>
  <c r="X37" i="2"/>
  <c r="X46" i="2" s="1"/>
  <c r="Q41" i="2"/>
  <c r="Q50" i="2" s="1"/>
  <c r="AA42" i="2"/>
  <c r="AA51" i="2" s="1"/>
  <c r="Z43" i="2"/>
  <c r="Z52" i="2" s="1"/>
  <c r="AE39" i="2"/>
  <c r="AE48" i="2" s="1"/>
  <c r="V42" i="2"/>
  <c r="V51" i="2" s="1"/>
  <c r="AG37" i="2"/>
  <c r="AG46" i="2" s="1"/>
  <c r="R42" i="2"/>
  <c r="R51" i="2" s="1"/>
  <c r="AB38" i="2"/>
  <c r="AB47" i="2" s="1"/>
  <c r="AC42" i="2"/>
  <c r="AC51" i="2" s="1"/>
  <c r="AD42" i="2"/>
  <c r="AD51" i="2" s="1"/>
  <c r="AG42" i="2"/>
  <c r="AG51" i="2" s="1"/>
  <c r="R38" i="2"/>
  <c r="R47" i="2" s="1"/>
  <c r="AF43" i="2"/>
  <c r="AF52" i="2" s="1"/>
  <c r="R40" i="2"/>
  <c r="R39" i="2"/>
  <c r="R48" i="2" s="1"/>
  <c r="AA39" i="2"/>
  <c r="AA48" i="2" s="1"/>
  <c r="AF40" i="2"/>
  <c r="X38" i="2"/>
  <c r="X47" i="2" s="1"/>
  <c r="V43" i="2"/>
  <c r="V52" i="2" s="1"/>
  <c r="AF41" i="2"/>
  <c r="AF50" i="2" s="1"/>
  <c r="AC41" i="2"/>
  <c r="AC50" i="2" s="1"/>
  <c r="V37" i="2"/>
  <c r="V46" i="2" s="1"/>
  <c r="AA40" i="2"/>
  <c r="S42" i="2"/>
  <c r="S51" i="2" s="1"/>
  <c r="Y38" i="2"/>
  <c r="Y47" i="2" s="1"/>
  <c r="AH64" i="2"/>
  <c r="AH68" i="2"/>
  <c r="AH69" i="2"/>
  <c r="AH65" i="2"/>
  <c r="AH63" i="2"/>
  <c r="AH67" i="2"/>
  <c r="X197" i="2"/>
  <c r="Y199" i="2"/>
  <c r="AH47" i="2" l="1"/>
  <c r="AH46" i="2"/>
  <c r="AH51" i="2"/>
  <c r="AH50" i="2"/>
  <c r="AH52" i="2"/>
  <c r="AH48" i="2"/>
  <c r="AH71" i="2"/>
  <c r="AH106" i="2"/>
  <c r="Y197" i="2"/>
  <c r="Z199" i="2"/>
  <c r="AH54" i="2" l="1"/>
  <c r="G10" i="2" s="1"/>
  <c r="G28" i="1" s="1"/>
  <c r="Z37" i="1" s="1"/>
  <c r="G22" i="2"/>
  <c r="AJ72" i="2"/>
  <c r="AA199" i="2"/>
  <c r="Z197" i="2"/>
  <c r="G27" i="1" l="1"/>
  <c r="F10" i="2" s="1"/>
  <c r="F64" i="2" s="1"/>
  <c r="BE41" i="1"/>
  <c r="F65" i="2"/>
  <c r="G31" i="1" s="1"/>
  <c r="AR29" i="1"/>
  <c r="F62" i="2"/>
  <c r="AR32" i="1" s="1"/>
  <c r="AA197" i="2"/>
  <c r="AB199" i="2"/>
  <c r="P200" i="2" l="1"/>
  <c r="AA200" i="2" s="1"/>
  <c r="Z38" i="1"/>
  <c r="AR28" i="1"/>
  <c r="AR34" i="1"/>
  <c r="AR33" i="1"/>
  <c r="G33" i="1"/>
  <c r="G32" i="1"/>
  <c r="BE40" i="1"/>
  <c r="AG200" i="2"/>
  <c r="X200" i="2"/>
  <c r="AB197" i="2"/>
  <c r="AC199" i="2"/>
  <c r="AB200" i="2" l="1"/>
  <c r="T200" i="2"/>
  <c r="W200" i="2"/>
  <c r="AD200" i="2"/>
  <c r="Y200" i="2"/>
  <c r="Q200" i="2"/>
  <c r="AC200" i="2"/>
  <c r="U200" i="2"/>
  <c r="AE200" i="2"/>
  <c r="Z200" i="2"/>
  <c r="S200" i="2"/>
  <c r="R200" i="2"/>
  <c r="V200" i="2"/>
  <c r="AF200" i="2"/>
  <c r="P201" i="2"/>
  <c r="F22" i="2"/>
  <c r="F61" i="2" s="1"/>
  <c r="AC197" i="2"/>
  <c r="AD199" i="2"/>
  <c r="L200" i="2" l="1"/>
  <c r="L128" i="2" s="1"/>
  <c r="AE128" i="2" s="1"/>
  <c r="AE136" i="2" s="1"/>
  <c r="T201" i="2"/>
  <c r="AF201" i="2"/>
  <c r="W201" i="2"/>
  <c r="X201" i="2"/>
  <c r="AD201" i="2"/>
  <c r="Y201" i="2"/>
  <c r="AG201" i="2"/>
  <c r="Q201" i="2"/>
  <c r="R201" i="2"/>
  <c r="S201" i="2"/>
  <c r="V201" i="2"/>
  <c r="Z201" i="2"/>
  <c r="AE201" i="2"/>
  <c r="AC201" i="2"/>
  <c r="U201" i="2"/>
  <c r="AA201" i="2"/>
  <c r="AB201" i="2"/>
  <c r="AE199" i="2"/>
  <c r="AD197" i="2"/>
  <c r="AB128" i="2" l="1"/>
  <c r="AB136" i="2" s="1"/>
  <c r="K200" i="2"/>
  <c r="E10" i="2" s="1"/>
  <c r="L127" i="2"/>
  <c r="U127" i="2" s="1"/>
  <c r="U135" i="2" s="1"/>
  <c r="X128" i="2"/>
  <c r="X136" i="2" s="1"/>
  <c r="S128" i="2"/>
  <c r="S136" i="2" s="1"/>
  <c r="W128" i="2"/>
  <c r="W136" i="2" s="1"/>
  <c r="Q128" i="2"/>
  <c r="Q136" i="2" s="1"/>
  <c r="AG128" i="2"/>
  <c r="AG136" i="2" s="1"/>
  <c r="T128" i="2"/>
  <c r="T136" i="2" s="1"/>
  <c r="L124" i="2"/>
  <c r="AB124" i="2" s="1"/>
  <c r="AB132" i="2" s="1"/>
  <c r="V128" i="2"/>
  <c r="V136" i="2" s="1"/>
  <c r="AA128" i="2"/>
  <c r="AA136" i="2" s="1"/>
  <c r="AF128" i="2"/>
  <c r="AF136" i="2" s="1"/>
  <c r="L122" i="2"/>
  <c r="X122" i="2" s="1"/>
  <c r="X130" i="2" s="1"/>
  <c r="AD128" i="2"/>
  <c r="AD136" i="2" s="1"/>
  <c r="U128" i="2"/>
  <c r="U136" i="2" s="1"/>
  <c r="L125" i="2"/>
  <c r="Q125" i="2" s="1"/>
  <c r="Q133" i="2" s="1"/>
  <c r="L126" i="2"/>
  <c r="U126" i="2" s="1"/>
  <c r="U134" i="2" s="1"/>
  <c r="L123" i="2"/>
  <c r="V123" i="2" s="1"/>
  <c r="V131" i="2" s="1"/>
  <c r="Y128" i="2"/>
  <c r="Y136" i="2" s="1"/>
  <c r="Z128" i="2"/>
  <c r="Z136" i="2" s="1"/>
  <c r="AC128" i="2"/>
  <c r="AC136" i="2" s="1"/>
  <c r="R128" i="2"/>
  <c r="R136" i="2" s="1"/>
  <c r="L201" i="2"/>
  <c r="AE197" i="2"/>
  <c r="AF199" i="2"/>
  <c r="AF127" i="2" l="1"/>
  <c r="AF135" i="2" s="1"/>
  <c r="V127" i="2"/>
  <c r="V135" i="2" s="1"/>
  <c r="AB125" i="2"/>
  <c r="AB133" i="2" s="1"/>
  <c r="T127" i="2"/>
  <c r="T135" i="2" s="1"/>
  <c r="Y127" i="2"/>
  <c r="Y135" i="2" s="1"/>
  <c r="R123" i="2"/>
  <c r="R131" i="2" s="1"/>
  <c r="AB123" i="2"/>
  <c r="AB131" i="2" s="1"/>
  <c r="X123" i="2"/>
  <c r="X131" i="2" s="1"/>
  <c r="U123" i="2"/>
  <c r="U131" i="2" s="1"/>
  <c r="AB127" i="2"/>
  <c r="AB135" i="2" s="1"/>
  <c r="AG127" i="2"/>
  <c r="AG135" i="2" s="1"/>
  <c r="AA123" i="2"/>
  <c r="AA131" i="2" s="1"/>
  <c r="AC123" i="2"/>
  <c r="AC131" i="2" s="1"/>
  <c r="Q123" i="2"/>
  <c r="Q131" i="2" s="1"/>
  <c r="S123" i="2"/>
  <c r="S131" i="2" s="1"/>
  <c r="AC127" i="2"/>
  <c r="AC135" i="2" s="1"/>
  <c r="AE127" i="2"/>
  <c r="AE135" i="2" s="1"/>
  <c r="AE123" i="2"/>
  <c r="AE131" i="2" s="1"/>
  <c r="AF123" i="2"/>
  <c r="AF131" i="2" s="1"/>
  <c r="AG124" i="2"/>
  <c r="AG132" i="2" s="1"/>
  <c r="AC126" i="2"/>
  <c r="AC134" i="2" s="1"/>
  <c r="R125" i="2"/>
  <c r="R133" i="2" s="1"/>
  <c r="W127" i="2"/>
  <c r="W135" i="2" s="1"/>
  <c r="R127" i="2"/>
  <c r="R135" i="2" s="1"/>
  <c r="Y123" i="2"/>
  <c r="Y131" i="2" s="1"/>
  <c r="Z123" i="2"/>
  <c r="Z131" i="2" s="1"/>
  <c r="T123" i="2"/>
  <c r="T131" i="2" s="1"/>
  <c r="Z127" i="2"/>
  <c r="Z135" i="2" s="1"/>
  <c r="Q127" i="2"/>
  <c r="Q135" i="2" s="1"/>
  <c r="AG123" i="2"/>
  <c r="AG131" i="2" s="1"/>
  <c r="AD123" i="2"/>
  <c r="AD131" i="2" s="1"/>
  <c r="W123" i="2"/>
  <c r="W131" i="2" s="1"/>
  <c r="X127" i="2"/>
  <c r="X135" i="2" s="1"/>
  <c r="S127" i="2"/>
  <c r="S135" i="2" s="1"/>
  <c r="AD127" i="2"/>
  <c r="AD135" i="2" s="1"/>
  <c r="AA127" i="2"/>
  <c r="AA135" i="2" s="1"/>
  <c r="S122" i="2"/>
  <c r="S130" i="2" s="1"/>
  <c r="AE124" i="2"/>
  <c r="AE132" i="2" s="1"/>
  <c r="AG125" i="2"/>
  <c r="AG133" i="2" s="1"/>
  <c r="Y124" i="2"/>
  <c r="Y132" i="2" s="1"/>
  <c r="Q105" i="2"/>
  <c r="L109" i="2" s="1"/>
  <c r="S109" i="2" s="1"/>
  <c r="AB126" i="2"/>
  <c r="AB134" i="2" s="1"/>
  <c r="T122" i="2"/>
  <c r="T130" i="2" s="1"/>
  <c r="Y126" i="2"/>
  <c r="Y134" i="2" s="1"/>
  <c r="R126" i="2"/>
  <c r="R134" i="2" s="1"/>
  <c r="AC122" i="2"/>
  <c r="AC130" i="2" s="1"/>
  <c r="U122" i="2"/>
  <c r="U130" i="2" s="1"/>
  <c r="AC125" i="2"/>
  <c r="AC133" i="2" s="1"/>
  <c r="AD124" i="2"/>
  <c r="AD132" i="2" s="1"/>
  <c r="V125" i="2"/>
  <c r="V133" i="2" s="1"/>
  <c r="AE125" i="2"/>
  <c r="AE133" i="2" s="1"/>
  <c r="W125" i="2"/>
  <c r="W133" i="2" s="1"/>
  <c r="V124" i="2"/>
  <c r="V132" i="2" s="1"/>
  <c r="W124" i="2"/>
  <c r="W132" i="2" s="1"/>
  <c r="Q124" i="2"/>
  <c r="Q132" i="2" s="1"/>
  <c r="U124" i="2"/>
  <c r="U132" i="2" s="1"/>
  <c r="AA124" i="2"/>
  <c r="AA132" i="2" s="1"/>
  <c r="R124" i="2"/>
  <c r="R132" i="2" s="1"/>
  <c r="R122" i="2"/>
  <c r="R130" i="2" s="1"/>
  <c r="AE126" i="2"/>
  <c r="AE134" i="2" s="1"/>
  <c r="AF122" i="2"/>
  <c r="AF130" i="2" s="1"/>
  <c r="W126" i="2"/>
  <c r="W134" i="2" s="1"/>
  <c r="T126" i="2"/>
  <c r="T134" i="2" s="1"/>
  <c r="S126" i="2"/>
  <c r="S134" i="2" s="1"/>
  <c r="AD126" i="2"/>
  <c r="AD134" i="2" s="1"/>
  <c r="AF124" i="2"/>
  <c r="AF132" i="2" s="1"/>
  <c r="Y122" i="2"/>
  <c r="Y130" i="2" s="1"/>
  <c r="U125" i="2"/>
  <c r="U133" i="2" s="1"/>
  <c r="Z122" i="2"/>
  <c r="Z130" i="2" s="1"/>
  <c r="Q122" i="2"/>
  <c r="Q130" i="2" s="1"/>
  <c r="AB122" i="2"/>
  <c r="AB130" i="2" s="1"/>
  <c r="V126" i="2"/>
  <c r="V134" i="2" s="1"/>
  <c r="AD122" i="2"/>
  <c r="AD130" i="2" s="1"/>
  <c r="AE122" i="2"/>
  <c r="AE130" i="2" s="1"/>
  <c r="AA122" i="2"/>
  <c r="AA130" i="2" s="1"/>
  <c r="AD125" i="2"/>
  <c r="AD133" i="2" s="1"/>
  <c r="AH136" i="2"/>
  <c r="Z124" i="2"/>
  <c r="Z132" i="2" s="1"/>
  <c r="AA126" i="2"/>
  <c r="AA134" i="2" s="1"/>
  <c r="X124" i="2"/>
  <c r="X132" i="2" s="1"/>
  <c r="Z126" i="2"/>
  <c r="Z134" i="2" s="1"/>
  <c r="X125" i="2"/>
  <c r="X133" i="2" s="1"/>
  <c r="V122" i="2"/>
  <c r="V130" i="2" s="1"/>
  <c r="AF125" i="2"/>
  <c r="AF133" i="2" s="1"/>
  <c r="T125" i="2"/>
  <c r="T133" i="2" s="1"/>
  <c r="Q126" i="2"/>
  <c r="Q134" i="2" s="1"/>
  <c r="AA125" i="2"/>
  <c r="AA133" i="2" s="1"/>
  <c r="Y125" i="2"/>
  <c r="Y133" i="2" s="1"/>
  <c r="Z125" i="2"/>
  <c r="Z133" i="2" s="1"/>
  <c r="AF126" i="2"/>
  <c r="AF134" i="2" s="1"/>
  <c r="T124" i="2"/>
  <c r="T132" i="2" s="1"/>
  <c r="S124" i="2"/>
  <c r="S132" i="2" s="1"/>
  <c r="W122" i="2"/>
  <c r="W130" i="2" s="1"/>
  <c r="AG126" i="2"/>
  <c r="AG134" i="2" s="1"/>
  <c r="X126" i="2"/>
  <c r="X134" i="2" s="1"/>
  <c r="AG122" i="2"/>
  <c r="AG130" i="2" s="1"/>
  <c r="AC124" i="2"/>
  <c r="AC132" i="2" s="1"/>
  <c r="S125" i="2"/>
  <c r="S133" i="2" s="1"/>
  <c r="L141" i="2"/>
  <c r="L142" i="2"/>
  <c r="L140" i="2"/>
  <c r="L146" i="2"/>
  <c r="L144" i="2"/>
  <c r="L145" i="2"/>
  <c r="L143" i="2"/>
  <c r="K201" i="2"/>
  <c r="AF197" i="2"/>
  <c r="AG199" i="2"/>
  <c r="AG197" i="2" s="1"/>
  <c r="L107" i="2" l="1"/>
  <c r="Q107" i="2" s="1"/>
  <c r="AH135" i="2"/>
  <c r="AH131" i="2"/>
  <c r="L110" i="2"/>
  <c r="S110" i="2" s="1"/>
  <c r="R109" i="2"/>
  <c r="L108" i="2"/>
  <c r="R108" i="2" s="1"/>
  <c r="L106" i="2"/>
  <c r="Q106" i="2" s="1"/>
  <c r="Q109" i="2"/>
  <c r="L111" i="2"/>
  <c r="R111" i="2" s="1"/>
  <c r="AH132" i="2"/>
  <c r="AH133" i="2"/>
  <c r="AH134" i="2"/>
  <c r="AH130" i="2"/>
  <c r="U105" i="2"/>
  <c r="E22" i="2"/>
  <c r="U143" i="2"/>
  <c r="U151" i="2" s="1"/>
  <c r="V143" i="2"/>
  <c r="V151" i="2" s="1"/>
  <c r="S143" i="2"/>
  <c r="S151" i="2" s="1"/>
  <c r="AG143" i="2"/>
  <c r="AG151" i="2" s="1"/>
  <c r="Q143" i="2"/>
  <c r="Q151" i="2" s="1"/>
  <c r="AF143" i="2"/>
  <c r="AF151" i="2" s="1"/>
  <c r="R143" i="2"/>
  <c r="R151" i="2" s="1"/>
  <c r="Y143" i="2"/>
  <c r="Y151" i="2" s="1"/>
  <c r="W143" i="2"/>
  <c r="W151" i="2" s="1"/>
  <c r="T143" i="2"/>
  <c r="T151" i="2" s="1"/>
  <c r="AC143" i="2"/>
  <c r="AC151" i="2" s="1"/>
  <c r="AE143" i="2"/>
  <c r="AE151" i="2" s="1"/>
  <c r="AD143" i="2"/>
  <c r="AD151" i="2" s="1"/>
  <c r="AA143" i="2"/>
  <c r="AA151" i="2" s="1"/>
  <c r="AB143" i="2"/>
  <c r="AB151" i="2" s="1"/>
  <c r="Z143" i="2"/>
  <c r="Z151" i="2" s="1"/>
  <c r="X143" i="2"/>
  <c r="X151" i="2" s="1"/>
  <c r="AC140" i="2"/>
  <c r="AC148" i="2" s="1"/>
  <c r="U140" i="2"/>
  <c r="U148" i="2" s="1"/>
  <c r="V140" i="2"/>
  <c r="V148" i="2" s="1"/>
  <c r="Y140" i="2"/>
  <c r="Y148" i="2" s="1"/>
  <c r="Z140" i="2"/>
  <c r="Z148" i="2" s="1"/>
  <c r="R140" i="2"/>
  <c r="R148" i="2" s="1"/>
  <c r="X140" i="2"/>
  <c r="X148" i="2" s="1"/>
  <c r="AD140" i="2"/>
  <c r="AD148" i="2" s="1"/>
  <c r="Q140" i="2"/>
  <c r="Q148" i="2" s="1"/>
  <c r="AG140" i="2"/>
  <c r="AG148" i="2" s="1"/>
  <c r="W140" i="2"/>
  <c r="W148" i="2" s="1"/>
  <c r="AB140" i="2"/>
  <c r="AB148" i="2" s="1"/>
  <c r="S140" i="2"/>
  <c r="S148" i="2" s="1"/>
  <c r="T140" i="2"/>
  <c r="T148" i="2" s="1"/>
  <c r="AE140" i="2"/>
  <c r="AE148" i="2" s="1"/>
  <c r="AA140" i="2"/>
  <c r="AA148" i="2" s="1"/>
  <c r="AF140" i="2"/>
  <c r="AF148" i="2" s="1"/>
  <c r="V145" i="2"/>
  <c r="V153" i="2" s="1"/>
  <c r="X145" i="2"/>
  <c r="X153" i="2" s="1"/>
  <c r="T145" i="2"/>
  <c r="T153" i="2" s="1"/>
  <c r="R145" i="2"/>
  <c r="R153" i="2" s="1"/>
  <c r="AF145" i="2"/>
  <c r="AF153" i="2" s="1"/>
  <c r="AG145" i="2"/>
  <c r="AG153" i="2" s="1"/>
  <c r="W145" i="2"/>
  <c r="W153" i="2" s="1"/>
  <c r="AA145" i="2"/>
  <c r="AA153" i="2" s="1"/>
  <c r="Q145" i="2"/>
  <c r="Q153" i="2" s="1"/>
  <c r="AC145" i="2"/>
  <c r="AC153" i="2" s="1"/>
  <c r="Y145" i="2"/>
  <c r="Y153" i="2" s="1"/>
  <c r="S145" i="2"/>
  <c r="S153" i="2" s="1"/>
  <c r="AB145" i="2"/>
  <c r="AB153" i="2" s="1"/>
  <c r="Z145" i="2"/>
  <c r="Z153" i="2" s="1"/>
  <c r="U145" i="2"/>
  <c r="U153" i="2" s="1"/>
  <c r="AD145" i="2"/>
  <c r="AD153" i="2" s="1"/>
  <c r="AE145" i="2"/>
  <c r="AE153" i="2" s="1"/>
  <c r="Y142" i="2"/>
  <c r="Y150" i="2" s="1"/>
  <c r="AF142" i="2"/>
  <c r="AF150" i="2" s="1"/>
  <c r="V142" i="2"/>
  <c r="V150" i="2" s="1"/>
  <c r="AG142" i="2"/>
  <c r="AG150" i="2" s="1"/>
  <c r="R142" i="2"/>
  <c r="R150" i="2" s="1"/>
  <c r="Z142" i="2"/>
  <c r="Z150" i="2" s="1"/>
  <c r="AC142" i="2"/>
  <c r="AC150" i="2" s="1"/>
  <c r="Q142" i="2"/>
  <c r="Q150" i="2" s="1"/>
  <c r="U142" i="2"/>
  <c r="U150" i="2" s="1"/>
  <c r="AA142" i="2"/>
  <c r="AA150" i="2" s="1"/>
  <c r="AB142" i="2"/>
  <c r="AB150" i="2" s="1"/>
  <c r="AD142" i="2"/>
  <c r="AD150" i="2" s="1"/>
  <c r="AE142" i="2"/>
  <c r="AE150" i="2" s="1"/>
  <c r="T142" i="2"/>
  <c r="T150" i="2" s="1"/>
  <c r="W142" i="2"/>
  <c r="W150" i="2" s="1"/>
  <c r="X142" i="2"/>
  <c r="X150" i="2" s="1"/>
  <c r="S142" i="2"/>
  <c r="S150" i="2" s="1"/>
  <c r="Z146" i="2"/>
  <c r="Z154" i="2" s="1"/>
  <c r="Q146" i="2"/>
  <c r="Q154" i="2" s="1"/>
  <c r="R146" i="2"/>
  <c r="R154" i="2" s="1"/>
  <c r="AB146" i="2"/>
  <c r="AB154" i="2" s="1"/>
  <c r="AE146" i="2"/>
  <c r="AE154" i="2" s="1"/>
  <c r="AC146" i="2"/>
  <c r="AC154" i="2" s="1"/>
  <c r="T146" i="2"/>
  <c r="T154" i="2" s="1"/>
  <c r="AG146" i="2"/>
  <c r="AG154" i="2" s="1"/>
  <c r="AD146" i="2"/>
  <c r="AD154" i="2" s="1"/>
  <c r="Y146" i="2"/>
  <c r="Y154" i="2" s="1"/>
  <c r="X146" i="2"/>
  <c r="X154" i="2" s="1"/>
  <c r="AA146" i="2"/>
  <c r="AA154" i="2" s="1"/>
  <c r="S146" i="2"/>
  <c r="S154" i="2" s="1"/>
  <c r="U146" i="2"/>
  <c r="U154" i="2" s="1"/>
  <c r="AF146" i="2"/>
  <c r="AF154" i="2" s="1"/>
  <c r="V146" i="2"/>
  <c r="V154" i="2" s="1"/>
  <c r="W146" i="2"/>
  <c r="W154" i="2" s="1"/>
  <c r="AE144" i="2"/>
  <c r="AE152" i="2" s="1"/>
  <c r="Q144" i="2"/>
  <c r="Q152" i="2" s="1"/>
  <c r="AB144" i="2"/>
  <c r="AB152" i="2" s="1"/>
  <c r="AF144" i="2"/>
  <c r="AF152" i="2" s="1"/>
  <c r="AA144" i="2"/>
  <c r="AA152" i="2" s="1"/>
  <c r="Z144" i="2"/>
  <c r="Z152" i="2" s="1"/>
  <c r="AD144" i="2"/>
  <c r="AD152" i="2" s="1"/>
  <c r="V144" i="2"/>
  <c r="V152" i="2" s="1"/>
  <c r="U144" i="2"/>
  <c r="U152" i="2" s="1"/>
  <c r="S144" i="2"/>
  <c r="S152" i="2" s="1"/>
  <c r="T144" i="2"/>
  <c r="T152" i="2" s="1"/>
  <c r="Y144" i="2"/>
  <c r="Y152" i="2" s="1"/>
  <c r="X144" i="2"/>
  <c r="X152" i="2" s="1"/>
  <c r="AC144" i="2"/>
  <c r="AC152" i="2" s="1"/>
  <c r="AG144" i="2"/>
  <c r="AG152" i="2" s="1"/>
  <c r="W144" i="2"/>
  <c r="W152" i="2" s="1"/>
  <c r="R144" i="2"/>
  <c r="R152" i="2" s="1"/>
  <c r="R141" i="2"/>
  <c r="R149" i="2" s="1"/>
  <c r="S141" i="2"/>
  <c r="S149" i="2" s="1"/>
  <c r="V141" i="2"/>
  <c r="V149" i="2" s="1"/>
  <c r="T141" i="2"/>
  <c r="T149" i="2" s="1"/>
  <c r="AD141" i="2"/>
  <c r="AD149" i="2" s="1"/>
  <c r="Y141" i="2"/>
  <c r="Y149" i="2" s="1"/>
  <c r="U141" i="2"/>
  <c r="U149" i="2" s="1"/>
  <c r="AB141" i="2"/>
  <c r="AB149" i="2" s="1"/>
  <c r="AC141" i="2"/>
  <c r="AC149" i="2" s="1"/>
  <c r="W141" i="2"/>
  <c r="W149" i="2" s="1"/>
  <c r="Z141" i="2"/>
  <c r="Z149" i="2" s="1"/>
  <c r="AA141" i="2"/>
  <c r="AA149" i="2" s="1"/>
  <c r="AE141" i="2"/>
  <c r="AE149" i="2" s="1"/>
  <c r="AG141" i="2"/>
  <c r="AG149" i="2" s="1"/>
  <c r="AF141" i="2"/>
  <c r="AF149" i="2" s="1"/>
  <c r="X141" i="2"/>
  <c r="X149" i="2" s="1"/>
  <c r="Q141" i="2"/>
  <c r="Q149" i="2" s="1"/>
  <c r="R106" i="2"/>
  <c r="S107" i="2"/>
  <c r="R107" i="2"/>
  <c r="R110" i="2" l="1"/>
  <c r="F16" i="2"/>
  <c r="AO16" i="2" s="1"/>
  <c r="J39" i="1" s="1"/>
  <c r="D39" i="1" s="1"/>
  <c r="Q110" i="2"/>
  <c r="F15" i="2" s="1"/>
  <c r="Q111" i="2"/>
  <c r="F19" i="2" s="1"/>
  <c r="S108" i="2"/>
  <c r="Q108" i="2"/>
  <c r="F18" i="2" s="1"/>
  <c r="AO18" i="2" s="1"/>
  <c r="J38" i="1" s="1"/>
  <c r="D38" i="1" s="1"/>
  <c r="S106" i="2"/>
  <c r="S111" i="2"/>
  <c r="AH138" i="2"/>
  <c r="F13" i="2" s="1"/>
  <c r="F39" i="2" s="1"/>
  <c r="AT39" i="2" s="1"/>
  <c r="AH148" i="2"/>
  <c r="AH151" i="2"/>
  <c r="AH154" i="2"/>
  <c r="AH149" i="2"/>
  <c r="AH152" i="2"/>
  <c r="AH150" i="2"/>
  <c r="AH153" i="2"/>
  <c r="T106" i="2"/>
  <c r="T111" i="2"/>
  <c r="T110" i="2"/>
  <c r="T107" i="2"/>
  <c r="T108" i="2"/>
  <c r="T109" i="2"/>
  <c r="F20" i="2"/>
  <c r="AO20" i="2" s="1"/>
  <c r="J36" i="1" s="1"/>
  <c r="D36" i="1" s="1"/>
  <c r="F17" i="2"/>
  <c r="AO17" i="2" s="1"/>
  <c r="J37" i="1" s="1"/>
  <c r="D37" i="1" s="1"/>
  <c r="E13" i="2" l="1"/>
  <c r="AM39" i="2" s="1"/>
  <c r="G22" i="1"/>
  <c r="BH43" i="1" s="1"/>
  <c r="BE43" i="1" s="1"/>
  <c r="AH156" i="2"/>
  <c r="F24" i="2" s="1"/>
  <c r="E24" i="2" s="1"/>
  <c r="AN39" i="2" s="1"/>
  <c r="W108" i="2"/>
  <c r="V108" i="2"/>
  <c r="U108" i="2"/>
  <c r="W106" i="2"/>
  <c r="U106" i="2"/>
  <c r="V106" i="2"/>
  <c r="V107" i="2"/>
  <c r="W107" i="2"/>
  <c r="U107" i="2"/>
  <c r="W110" i="2"/>
  <c r="U110" i="2"/>
  <c r="V110" i="2"/>
  <c r="W109" i="2"/>
  <c r="U109" i="2"/>
  <c r="V109" i="2"/>
  <c r="U111" i="2"/>
  <c r="W111" i="2"/>
  <c r="V111" i="2"/>
  <c r="AO26" i="2"/>
  <c r="AS41" i="1" s="1"/>
  <c r="AO15" i="2"/>
  <c r="J40" i="1" s="1"/>
  <c r="D40" i="1" s="1"/>
  <c r="G18" i="1"/>
  <c r="AU15" i="1" s="1"/>
  <c r="G39" i="2" l="1"/>
  <c r="AU39" i="2" s="1"/>
  <c r="L15" i="1"/>
  <c r="K14" i="1"/>
  <c r="P24" i="1"/>
  <c r="N15" i="1"/>
  <c r="AH19" i="1"/>
  <c r="AH36" i="1"/>
  <c r="AH17" i="1"/>
  <c r="O40" i="1"/>
  <c r="C28" i="1"/>
  <c r="AT16" i="1"/>
  <c r="AW17" i="1"/>
  <c r="AZ15" i="1"/>
  <c r="AW16" i="1"/>
  <c r="AV16" i="1"/>
  <c r="AR16" i="1"/>
  <c r="AW36" i="1"/>
  <c r="AS28" i="1"/>
  <c r="AY34" i="1"/>
  <c r="AS16" i="1"/>
  <c r="AV17" i="1"/>
  <c r="AV15" i="1"/>
  <c r="AZ36" i="1"/>
  <c r="AY16" i="1"/>
  <c r="AX15" i="1"/>
  <c r="AS15" i="1"/>
  <c r="AY35" i="1"/>
  <c r="AY28" i="1"/>
  <c r="AX35" i="1"/>
  <c r="AV28" i="1"/>
  <c r="F26" i="2"/>
  <c r="F29" i="2"/>
  <c r="AO29" i="2" s="1"/>
  <c r="AS39" i="1" s="1"/>
  <c r="F28" i="2"/>
  <c r="AO28" i="2" s="1"/>
  <c r="AS38" i="1" s="1"/>
  <c r="F30" i="2"/>
  <c r="AO30" i="2" s="1"/>
  <c r="AS37" i="1" s="1"/>
  <c r="AR24" i="1"/>
  <c r="BH44" i="1" s="1"/>
  <c r="BE44" i="1" s="1"/>
  <c r="F27" i="2"/>
  <c r="AO27" i="2" s="1"/>
  <c r="AS40" i="1" s="1"/>
  <c r="S41" i="1"/>
  <c r="S30" i="1"/>
  <c r="AD30" i="1"/>
  <c r="AE15" i="1"/>
  <c r="AX10" i="1"/>
  <c r="AU10" i="1"/>
  <c r="AX19" i="1"/>
  <c r="AU19" i="1"/>
  <c r="AY17" i="1"/>
  <c r="AS19" i="1"/>
  <c r="AY18" i="1"/>
  <c r="CV168" i="1"/>
  <c r="CV162" i="1"/>
  <c r="K19" i="1"/>
  <c r="CV167" i="1"/>
  <c r="CV164" i="1"/>
  <c r="K28" i="1"/>
  <c r="CV166" i="1"/>
  <c r="CV163" i="1"/>
  <c r="CV165" i="1"/>
  <c r="CS160" i="1"/>
  <c r="T42" i="1"/>
  <c r="AU36" i="1"/>
  <c r="AS17" i="1"/>
  <c r="AU6" i="1"/>
  <c r="AV18" i="1" s="1"/>
  <c r="AF16" i="1"/>
  <c r="R23" i="1"/>
  <c r="J27" i="1"/>
  <c r="J24" i="1"/>
  <c r="J23" i="1"/>
  <c r="N27" i="1"/>
  <c r="S27" i="1"/>
  <c r="S20" i="1"/>
  <c r="AF20" i="1"/>
  <c r="C44" i="1"/>
  <c r="AF37" i="1"/>
  <c r="AF30" i="1"/>
  <c r="AF36" i="1"/>
  <c r="AF19" i="1"/>
  <c r="Y42" i="1"/>
  <c r="M18" i="1"/>
  <c r="M17" i="1"/>
  <c r="AD15" i="1"/>
  <c r="M16" i="1"/>
  <c r="A11" i="2" s="1"/>
  <c r="F11" i="2" s="1"/>
  <c r="F55" i="2" s="1"/>
  <c r="N16" i="1"/>
  <c r="M22" i="1"/>
  <c r="U36" i="1"/>
  <c r="O39" i="1"/>
  <c r="O35" i="1"/>
  <c r="R32" i="1"/>
  <c r="V30" i="1"/>
  <c r="U35" i="1"/>
  <c r="T31" i="1"/>
  <c r="O36" i="1"/>
  <c r="T30" i="1"/>
  <c r="T39" i="1"/>
  <c r="T36" i="1"/>
  <c r="O38" i="1"/>
  <c r="T32" i="1"/>
  <c r="R34" i="1"/>
  <c r="N30" i="1"/>
  <c r="T38" i="1"/>
  <c r="O37" i="1"/>
  <c r="S39" i="1"/>
  <c r="T37" i="1"/>
  <c r="Q20" i="1"/>
  <c r="M20" i="1"/>
  <c r="Q22" i="1"/>
  <c r="Q17" i="1"/>
  <c r="M19" i="1"/>
  <c r="L17" i="1"/>
  <c r="AP36" i="1"/>
  <c r="AR36" i="1"/>
  <c r="AN36" i="1"/>
  <c r="AD16" i="1"/>
  <c r="C20" i="1"/>
  <c r="G19" i="2"/>
  <c r="AO19" i="2" s="1"/>
  <c r="J41" i="1" s="1"/>
  <c r="D41" i="1" s="1"/>
  <c r="C24" i="1"/>
  <c r="T20" i="1"/>
  <c r="R28" i="1"/>
  <c r="R30" i="1"/>
  <c r="AE16" i="1"/>
  <c r="AE14" i="1"/>
  <c r="M40" i="1"/>
  <c r="C34" i="1"/>
  <c r="C35" i="1"/>
  <c r="F35" i="2"/>
  <c r="G68" i="2"/>
  <c r="C23" i="1"/>
  <c r="M35" i="1"/>
  <c r="L58" i="2"/>
  <c r="F34" i="2"/>
  <c r="G69" i="2"/>
  <c r="G40" i="2" l="1"/>
  <c r="AW42" i="2" s="1"/>
  <c r="AN40" i="2"/>
  <c r="AN42" i="2" s="1"/>
  <c r="AS18" i="1"/>
  <c r="AL168" i="1"/>
  <c r="AL163" i="1"/>
  <c r="AU8" i="1"/>
  <c r="AU13" i="1" s="1"/>
  <c r="AU23" i="1"/>
  <c r="AU9" i="1"/>
  <c r="G70" i="2"/>
  <c r="M39" i="1" s="1"/>
  <c r="H19" i="2"/>
  <c r="L40" i="2"/>
  <c r="L42" i="2" s="1"/>
  <c r="L56" i="2" s="1"/>
  <c r="AM40" i="2"/>
  <c r="AM42" i="2" s="1"/>
  <c r="F40" i="2"/>
  <c r="AW47" i="2" l="1"/>
  <c r="AW46" i="2"/>
  <c r="G42" i="2" s="1"/>
  <c r="AL47" i="2" s="1"/>
  <c r="AN43" i="2"/>
  <c r="G47" i="2" s="1"/>
  <c r="AU40" i="2"/>
  <c r="AU42" i="2" s="1"/>
  <c r="AX6" i="1"/>
  <c r="AL167" i="1" s="1"/>
  <c r="AR163" i="1" s="1"/>
  <c r="X39" i="1" s="1"/>
  <c r="AS8" i="1"/>
  <c r="AS6" i="1"/>
  <c r="H8" i="2"/>
  <c r="H46" i="2" s="1"/>
  <c r="BD39" i="1"/>
  <c r="I31" i="2"/>
  <c r="BF39" i="1"/>
  <c r="BB39" i="1"/>
  <c r="S80" i="2"/>
  <c r="Q170" i="2"/>
  <c r="W80" i="2"/>
  <c r="I24" i="2"/>
  <c r="BC39" i="1" s="1"/>
  <c r="S170" i="2"/>
  <c r="AB83" i="2"/>
  <c r="T80" i="2"/>
  <c r="Z167" i="2"/>
  <c r="AB167" i="2"/>
  <c r="W167" i="2"/>
  <c r="Z80" i="2"/>
  <c r="AF170" i="2"/>
  <c r="X83" i="2"/>
  <c r="U167" i="2"/>
  <c r="X80" i="2"/>
  <c r="S84" i="2"/>
  <c r="W170" i="2"/>
  <c r="AG84" i="2"/>
  <c r="T84" i="2"/>
  <c r="S85" i="2"/>
  <c r="Q84" i="2"/>
  <c r="R83" i="2"/>
  <c r="R84" i="2"/>
  <c r="AF167" i="2"/>
  <c r="Q167" i="2"/>
  <c r="T83" i="2"/>
  <c r="S83" i="2"/>
  <c r="Z84" i="2"/>
  <c r="Q83" i="2"/>
  <c r="AA170" i="2"/>
  <c r="AG170" i="2"/>
  <c r="AB170" i="2"/>
  <c r="AE83" i="2"/>
  <c r="Z83" i="2"/>
  <c r="AF83" i="2"/>
  <c r="AC167" i="2"/>
  <c r="AF80" i="2"/>
  <c r="AA84" i="2"/>
  <c r="AE170" i="2"/>
  <c r="T167" i="2"/>
  <c r="AE167" i="2"/>
  <c r="W83" i="2"/>
  <c r="AG80" i="2"/>
  <c r="AC84" i="2"/>
  <c r="AA167" i="2"/>
  <c r="W84" i="2"/>
  <c r="V170" i="2"/>
  <c r="Y84" i="2"/>
  <c r="AC80" i="2"/>
  <c r="AA80" i="2"/>
  <c r="Z170" i="2"/>
  <c r="AD167" i="2"/>
  <c r="Y80" i="2"/>
  <c r="U170" i="2"/>
  <c r="X167" i="2"/>
  <c r="AD170" i="2"/>
  <c r="AB84" i="2"/>
  <c r="AB80" i="2"/>
  <c r="AG167" i="2"/>
  <c r="S167" i="2"/>
  <c r="Y167" i="2"/>
  <c r="AG83" i="2"/>
  <c r="AD80" i="2"/>
  <c r="Q80" i="2"/>
  <c r="U80" i="2"/>
  <c r="AC170" i="2"/>
  <c r="X84" i="2"/>
  <c r="V84" i="2"/>
  <c r="R170" i="2"/>
  <c r="U83" i="2"/>
  <c r="V167" i="2"/>
  <c r="V80" i="2"/>
  <c r="Y170" i="2"/>
  <c r="T170" i="2"/>
  <c r="V85" i="2"/>
  <c r="AD83" i="2"/>
  <c r="X170" i="2"/>
  <c r="Y83" i="2"/>
  <c r="R167" i="2"/>
  <c r="AE80" i="2"/>
  <c r="AE84" i="2"/>
  <c r="V83" i="2"/>
  <c r="U84" i="2"/>
  <c r="AD84" i="2"/>
  <c r="AC83" i="2"/>
  <c r="AA83" i="2"/>
  <c r="AF84" i="2"/>
  <c r="R80" i="2"/>
  <c r="Q82" i="2"/>
  <c r="AG86" i="2"/>
  <c r="AB82" i="2"/>
  <c r="W86" i="2"/>
  <c r="Y86" i="2"/>
  <c r="T81" i="2"/>
  <c r="AG82" i="2"/>
  <c r="T82" i="2"/>
  <c r="AE82" i="2"/>
  <c r="U86" i="2"/>
  <c r="X85" i="2"/>
  <c r="V82" i="2"/>
  <c r="Z85" i="2"/>
  <c r="Z86" i="2"/>
  <c r="V86" i="2"/>
  <c r="AE86" i="2"/>
  <c r="AC81" i="2"/>
  <c r="Y85" i="2"/>
  <c r="S82" i="2"/>
  <c r="Z82" i="2"/>
  <c r="AF82" i="2"/>
  <c r="AF86" i="2"/>
  <c r="V81" i="2"/>
  <c r="X86" i="2"/>
  <c r="U85" i="2"/>
  <c r="AD85" i="2"/>
  <c r="AA82" i="2"/>
  <c r="AB81" i="2"/>
  <c r="AG81" i="2"/>
  <c r="AE85" i="2"/>
  <c r="AB86" i="2"/>
  <c r="U81" i="2"/>
  <c r="AA85" i="2"/>
  <c r="T85" i="2"/>
  <c r="Y81" i="2"/>
  <c r="AB85" i="2"/>
  <c r="AF81" i="2"/>
  <c r="Q85" i="2"/>
  <c r="R86" i="2"/>
  <c r="AD81" i="2"/>
  <c r="S86" i="2"/>
  <c r="W82" i="2"/>
  <c r="AA81" i="2"/>
  <c r="X82" i="2"/>
  <c r="AD86" i="2"/>
  <c r="R81" i="2"/>
  <c r="X81" i="2"/>
  <c r="Y82" i="2"/>
  <c r="AF85" i="2"/>
  <c r="AC86" i="2"/>
  <c r="W85" i="2"/>
  <c r="AC85" i="2"/>
  <c r="S81" i="2"/>
  <c r="R85" i="2"/>
  <c r="AA86" i="2"/>
  <c r="Q81" i="2"/>
  <c r="W81" i="2"/>
  <c r="Z81" i="2"/>
  <c r="AG85" i="2"/>
  <c r="AE81" i="2"/>
  <c r="T86" i="2"/>
  <c r="U82" i="2"/>
  <c r="Q86" i="2"/>
  <c r="R82" i="2"/>
  <c r="AC82" i="2"/>
  <c r="AD82" i="2"/>
  <c r="AA172" i="2"/>
  <c r="U168" i="2"/>
  <c r="AA171" i="2"/>
  <c r="X168" i="2"/>
  <c r="AE168" i="2"/>
  <c r="AC168" i="2"/>
  <c r="S168" i="2"/>
  <c r="AE172" i="2"/>
  <c r="V171" i="2"/>
  <c r="Y172" i="2"/>
  <c r="T171" i="2"/>
  <c r="Z171" i="2"/>
  <c r="T168" i="2"/>
  <c r="W168" i="2"/>
  <c r="U172" i="2"/>
  <c r="AB172" i="2"/>
  <c r="W171" i="2"/>
  <c r="AA168" i="2"/>
  <c r="Z172" i="2"/>
  <c r="AF168" i="2"/>
  <c r="Q168" i="2"/>
  <c r="AG168" i="2"/>
  <c r="AC172" i="2"/>
  <c r="Q172" i="2"/>
  <c r="R168" i="2"/>
  <c r="AE171" i="2"/>
  <c r="AD172" i="2"/>
  <c r="V172" i="2"/>
  <c r="AC171" i="2"/>
  <c r="AB171" i="2"/>
  <c r="AF171" i="2"/>
  <c r="R172" i="2"/>
  <c r="S172" i="2"/>
  <c r="AF172" i="2"/>
  <c r="AB168" i="2"/>
  <c r="Q171" i="2"/>
  <c r="U171" i="2"/>
  <c r="X171" i="2"/>
  <c r="V168" i="2"/>
  <c r="X172" i="2"/>
  <c r="AD168" i="2"/>
  <c r="R171" i="2"/>
  <c r="W172" i="2"/>
  <c r="AD171" i="2"/>
  <c r="AG172" i="2"/>
  <c r="Y168" i="2"/>
  <c r="Y171" i="2"/>
  <c r="S171" i="2"/>
  <c r="T172" i="2"/>
  <c r="Z168" i="2"/>
  <c r="AG171" i="2"/>
  <c r="L37" i="1"/>
  <c r="AT40" i="2"/>
  <c r="AT42" i="2" s="1"/>
  <c r="BE42" i="1"/>
  <c r="F42" i="2"/>
  <c r="AH86" i="2" l="1"/>
  <c r="AH171" i="2"/>
  <c r="AH172" i="2"/>
  <c r="AH82" i="2"/>
  <c r="AH83" i="2"/>
  <c r="AH167" i="2"/>
  <c r="AH84" i="2"/>
  <c r="AH85" i="2"/>
  <c r="AH170" i="2"/>
  <c r="AH81" i="2"/>
  <c r="AH80" i="2"/>
  <c r="AH168" i="2"/>
  <c r="AP56" i="2"/>
  <c r="L54" i="2"/>
  <c r="F58" i="2"/>
  <c r="AH87" i="2" l="1"/>
  <c r="G57" i="2"/>
  <c r="H57" i="2"/>
  <c r="I60" i="2"/>
  <c r="I55" i="2"/>
  <c r="I57" i="2"/>
  <c r="L60" i="2"/>
  <c r="I56" i="2"/>
  <c r="I22" i="2" l="1"/>
  <c r="AJ73" i="2"/>
  <c r="AL72" i="2" s="1"/>
  <c r="I58" i="2"/>
  <c r="F56" i="2" s="1"/>
  <c r="AU29" i="1" l="1"/>
  <c r="AU28" i="1" s="1"/>
  <c r="H62" i="2"/>
  <c r="AU32" i="1" s="1"/>
  <c r="AN72" i="2"/>
  <c r="AM72" i="2"/>
  <c r="H31" i="2" s="1"/>
  <c r="AX23" i="1"/>
  <c r="X102" i="2" s="1"/>
  <c r="AL164" i="1"/>
  <c r="AR164" i="1" s="1"/>
  <c r="AX8" i="1"/>
  <c r="AX13" i="1" s="1"/>
  <c r="AX9" i="1"/>
  <c r="P202" i="2" l="1"/>
  <c r="H22" i="2"/>
  <c r="AU163" i="1"/>
  <c r="AX163" i="1" s="1"/>
  <c r="Z39" i="1" s="1"/>
  <c r="BE39" i="1"/>
  <c r="AU34" i="1"/>
  <c r="AU33" i="1"/>
  <c r="X40" i="1"/>
  <c r="T187" i="2"/>
  <c r="T190" i="2"/>
  <c r="T102" i="2"/>
  <c r="AA98" i="2"/>
  <c r="Y101" i="2"/>
  <c r="W191" i="2"/>
  <c r="AF186" i="2"/>
  <c r="AE186" i="2"/>
  <c r="AB101" i="2"/>
  <c r="AA102" i="2"/>
  <c r="Y96" i="2"/>
  <c r="AA101" i="2"/>
  <c r="Y189" i="2"/>
  <c r="V189" i="2"/>
  <c r="Z102" i="2"/>
  <c r="AG99" i="2"/>
  <c r="T192" i="2"/>
  <c r="AA191" i="2"/>
  <c r="AE187" i="2"/>
  <c r="R190" i="2"/>
  <c r="Q102" i="2"/>
  <c r="S102" i="2"/>
  <c r="V98" i="2"/>
  <c r="Q99" i="2"/>
  <c r="T98" i="2"/>
  <c r="Q98" i="2"/>
  <c r="Z189" i="2"/>
  <c r="AF187" i="2"/>
  <c r="AC190" i="2"/>
  <c r="Q191" i="2"/>
  <c r="X186" i="2"/>
  <c r="R100" i="2"/>
  <c r="X192" i="2"/>
  <c r="S98" i="2"/>
  <c r="AG98" i="2"/>
  <c r="T96" i="2"/>
  <c r="AC98" i="2"/>
  <c r="U187" i="2"/>
  <c r="AE192" i="2"/>
  <c r="AA190" i="2"/>
  <c r="AB96" i="2"/>
  <c r="R187" i="2"/>
  <c r="V101" i="2"/>
  <c r="R101" i="2"/>
  <c r="Q187" i="2"/>
  <c r="V102" i="2"/>
  <c r="X100" i="2"/>
  <c r="AA97" i="2"/>
  <c r="AD186" i="2"/>
  <c r="AA186" i="2"/>
  <c r="U101" i="2"/>
  <c r="AG97" i="2"/>
  <c r="W190" i="2"/>
  <c r="AG189" i="2"/>
  <c r="AC97" i="2"/>
  <c r="Y186" i="2"/>
  <c r="Z190" i="2"/>
  <c r="AD189" i="2"/>
  <c r="Z192" i="2"/>
  <c r="AD96" i="2"/>
  <c r="W101" i="2"/>
  <c r="AA187" i="2"/>
  <c r="AG187" i="2"/>
  <c r="AB191" i="2"/>
  <c r="T101" i="2"/>
  <c r="AA99" i="2"/>
  <c r="V190" i="2"/>
  <c r="AD102" i="2"/>
  <c r="Q190" i="2"/>
  <c r="X98" i="2"/>
  <c r="W189" i="2"/>
  <c r="AG190" i="2"/>
  <c r="AE97" i="2"/>
  <c r="AC99" i="2"/>
  <c r="AC186" i="2"/>
  <c r="Y97" i="2"/>
  <c r="AA192" i="2"/>
  <c r="U98" i="2"/>
  <c r="AC192" i="2"/>
  <c r="AB190" i="2"/>
  <c r="AF99" i="2"/>
  <c r="AG96" i="2"/>
  <c r="AE99" i="2"/>
  <c r="AA189" i="2"/>
  <c r="AB192" i="2"/>
  <c r="S100" i="2"/>
  <c r="AE191" i="2"/>
  <c r="AD98" i="2"/>
  <c r="AD187" i="2"/>
  <c r="AD190" i="2"/>
  <c r="W97" i="2"/>
  <c r="U190" i="2"/>
  <c r="AB102" i="2"/>
  <c r="W100" i="2"/>
  <c r="X101" i="2"/>
  <c r="AB187" i="2"/>
  <c r="X191" i="2"/>
  <c r="AB189" i="2"/>
  <c r="S192" i="2"/>
  <c r="AE100" i="2"/>
  <c r="AF98" i="2"/>
  <c r="Q100" i="2"/>
  <c r="AA96" i="2"/>
  <c r="U96" i="2"/>
  <c r="AD99" i="2"/>
  <c r="T97" i="2"/>
  <c r="S97" i="2"/>
  <c r="Z100" i="2"/>
  <c r="R191" i="2"/>
  <c r="V100" i="2"/>
  <c r="U100" i="2"/>
  <c r="S190" i="2"/>
  <c r="V187" i="2"/>
  <c r="AF100" i="2"/>
  <c r="AB97" i="2"/>
  <c r="X189" i="2"/>
  <c r="U97" i="2"/>
  <c r="W102" i="2"/>
  <c r="U99" i="2"/>
  <c r="X190" i="2"/>
  <c r="U192" i="2"/>
  <c r="R98" i="2"/>
  <c r="AD192" i="2"/>
  <c r="S186" i="2"/>
  <c r="Z99" i="2"/>
  <c r="AE102" i="2"/>
  <c r="AF191" i="2"/>
  <c r="Q96" i="2"/>
  <c r="R96" i="2"/>
  <c r="AB99" i="2"/>
  <c r="AD101" i="2"/>
  <c r="R186" i="2"/>
  <c r="W98" i="2"/>
  <c r="Y102" i="2"/>
  <c r="AC187" i="2"/>
  <c r="Z186" i="2"/>
  <c r="AC102" i="2"/>
  <c r="S101" i="2"/>
  <c r="S191" i="2"/>
  <c r="T99" i="2"/>
  <c r="Q97" i="2"/>
  <c r="AF192" i="2"/>
  <c r="T100" i="2"/>
  <c r="Y187" i="2"/>
  <c r="S96" i="2"/>
  <c r="AA100" i="2"/>
  <c r="W96" i="2"/>
  <c r="AC100" i="2"/>
  <c r="AB100" i="2"/>
  <c r="R99" i="2"/>
  <c r="AE101" i="2"/>
  <c r="R102" i="2"/>
  <c r="Q186" i="2"/>
  <c r="Y99" i="2"/>
  <c r="W99" i="2"/>
  <c r="V186" i="2"/>
  <c r="X187" i="2"/>
  <c r="AE189" i="2"/>
  <c r="AE96" i="2"/>
  <c r="AF96" i="2"/>
  <c r="Y98" i="2"/>
  <c r="Z101" i="2"/>
  <c r="AG192" i="2"/>
  <c r="V191" i="2"/>
  <c r="Y190" i="2"/>
  <c r="AG101" i="2"/>
  <c r="Q189" i="2"/>
  <c r="AE190" i="2"/>
  <c r="W192" i="2"/>
  <c r="Y191" i="2"/>
  <c r="AG186" i="2"/>
  <c r="AF190" i="2"/>
  <c r="U186" i="2"/>
  <c r="T186" i="2"/>
  <c r="V99" i="2"/>
  <c r="Z98" i="2"/>
  <c r="AD97" i="2"/>
  <c r="V96" i="2"/>
  <c r="AD100" i="2"/>
  <c r="S99" i="2"/>
  <c r="Z97" i="2"/>
  <c r="Z96" i="2"/>
  <c r="K24" i="2"/>
  <c r="BC38" i="1" s="1"/>
  <c r="AC189" i="2"/>
  <c r="T191" i="2"/>
  <c r="Q192" i="2"/>
  <c r="AE98" i="2"/>
  <c r="W186" i="2"/>
  <c r="X99" i="2"/>
  <c r="AG102" i="2"/>
  <c r="AF97" i="2"/>
  <c r="AF101" i="2"/>
  <c r="AF189" i="2"/>
  <c r="S187" i="2"/>
  <c r="AB98" i="2"/>
  <c r="AC96" i="2"/>
  <c r="Y192" i="2"/>
  <c r="Z191" i="2"/>
  <c r="R192" i="2"/>
  <c r="Q101" i="2"/>
  <c r="R97" i="2"/>
  <c r="W187" i="2"/>
  <c r="V97" i="2"/>
  <c r="AB186" i="2"/>
  <c r="AD191" i="2"/>
  <c r="U189" i="2"/>
  <c r="Z187" i="2"/>
  <c r="X97" i="2"/>
  <c r="S189" i="2"/>
  <c r="X96" i="2"/>
  <c r="R189" i="2"/>
  <c r="U102" i="2"/>
  <c r="AC191" i="2"/>
  <c r="AC101" i="2"/>
  <c r="AF102" i="2"/>
  <c r="T189" i="2"/>
  <c r="AG100" i="2"/>
  <c r="V192" i="2"/>
  <c r="U191" i="2"/>
  <c r="AG191" i="2"/>
  <c r="Y100" i="2"/>
  <c r="BB38" i="1"/>
  <c r="J8" i="2"/>
  <c r="BD38" i="1"/>
  <c r="K31" i="2"/>
  <c r="BF38" i="1"/>
  <c r="AV6" i="1"/>
  <c r="AV8" i="1"/>
  <c r="H61" i="2" l="1"/>
  <c r="S202" i="2"/>
  <c r="AG202" i="2"/>
  <c r="V202" i="2"/>
  <c r="R202" i="2"/>
  <c r="U202" i="2"/>
  <c r="X202" i="2"/>
  <c r="Z202" i="2"/>
  <c r="Y202" i="2"/>
  <c r="Q202" i="2"/>
  <c r="W202" i="2"/>
  <c r="AA202" i="2"/>
  <c r="AD202" i="2"/>
  <c r="AC202" i="2"/>
  <c r="AE202" i="2"/>
  <c r="AF202" i="2"/>
  <c r="T202" i="2"/>
  <c r="AB202" i="2"/>
  <c r="AH190" i="2"/>
  <c r="AH101" i="2"/>
  <c r="AH96" i="2"/>
  <c r="AH187" i="2"/>
  <c r="AH102" i="2"/>
  <c r="AH97" i="2"/>
  <c r="AH189" i="2"/>
  <c r="AH98" i="2"/>
  <c r="AH100" i="2"/>
  <c r="AH186" i="2"/>
  <c r="AH99" i="2"/>
  <c r="AH191" i="2"/>
  <c r="AH192" i="2"/>
  <c r="J46" i="2"/>
  <c r="L202" i="2" l="1"/>
  <c r="AH103" i="2"/>
  <c r="AJ74" i="2" s="1"/>
  <c r="AL73" i="2" s="1"/>
  <c r="L159" i="2" l="1"/>
  <c r="L162" i="2"/>
  <c r="L161" i="2"/>
  <c r="L165" i="2"/>
  <c r="L163" i="2"/>
  <c r="L164" i="2"/>
  <c r="L160" i="2"/>
  <c r="K202" i="2"/>
  <c r="Z105" i="2" s="1"/>
  <c r="K22" i="2"/>
  <c r="J62" i="2" s="1"/>
  <c r="AN73" i="2"/>
  <c r="AM73" i="2"/>
  <c r="J31" i="2" s="1"/>
  <c r="Z165" i="2" l="1"/>
  <c r="Z173" i="2" s="1"/>
  <c r="AA165" i="2"/>
  <c r="AA173" i="2" s="1"/>
  <c r="V165" i="2"/>
  <c r="V173" i="2" s="1"/>
  <c r="AE165" i="2"/>
  <c r="AE173" i="2" s="1"/>
  <c r="S165" i="2"/>
  <c r="S173" i="2" s="1"/>
  <c r="T165" i="2"/>
  <c r="T173" i="2" s="1"/>
  <c r="AB165" i="2"/>
  <c r="AB173" i="2" s="1"/>
  <c r="AF165" i="2"/>
  <c r="AF173" i="2" s="1"/>
  <c r="X165" i="2"/>
  <c r="X173" i="2" s="1"/>
  <c r="Q165" i="2"/>
  <c r="Q173" i="2" s="1"/>
  <c r="AC165" i="2"/>
  <c r="AC173" i="2" s="1"/>
  <c r="AG165" i="2"/>
  <c r="AG173" i="2" s="1"/>
  <c r="U165" i="2"/>
  <c r="U173" i="2" s="1"/>
  <c r="Y165" i="2"/>
  <c r="Y173" i="2" s="1"/>
  <c r="W165" i="2"/>
  <c r="W173" i="2" s="1"/>
  <c r="AD165" i="2"/>
  <c r="AD173" i="2" s="1"/>
  <c r="R165" i="2"/>
  <c r="R173" i="2" s="1"/>
  <c r="AC162" i="2"/>
  <c r="X162" i="2"/>
  <c r="T162" i="2"/>
  <c r="AD162" i="2"/>
  <c r="Z162" i="2"/>
  <c r="AG162" i="2"/>
  <c r="AE162" i="2"/>
  <c r="AA162" i="2"/>
  <c r="S162" i="2"/>
  <c r="Y162" i="2"/>
  <c r="AF162" i="2"/>
  <c r="W162" i="2"/>
  <c r="U162" i="2"/>
  <c r="V162" i="2"/>
  <c r="Q162" i="2"/>
  <c r="R162" i="2"/>
  <c r="AB162" i="2"/>
  <c r="X111" i="2"/>
  <c r="X110" i="2"/>
  <c r="X108" i="2"/>
  <c r="X106" i="2"/>
  <c r="X109" i="2"/>
  <c r="X107" i="2"/>
  <c r="U160" i="2"/>
  <c r="W160" i="2"/>
  <c r="R160" i="2"/>
  <c r="T160" i="2"/>
  <c r="AB160" i="2"/>
  <c r="AG160" i="2"/>
  <c r="S160" i="2"/>
  <c r="Y160" i="2"/>
  <c r="Q160" i="2"/>
  <c r="AC160" i="2"/>
  <c r="AF160" i="2"/>
  <c r="Z160" i="2"/>
  <c r="AA160" i="2"/>
  <c r="AE160" i="2"/>
  <c r="AD160" i="2"/>
  <c r="X160" i="2"/>
  <c r="V160" i="2"/>
  <c r="AB161" i="2"/>
  <c r="AB169" i="2" s="1"/>
  <c r="S161" i="2"/>
  <c r="S169" i="2" s="1"/>
  <c r="Q161" i="2"/>
  <c r="Q169" i="2" s="1"/>
  <c r="R161" i="2"/>
  <c r="R169" i="2" s="1"/>
  <c r="AC161" i="2"/>
  <c r="AC169" i="2" s="1"/>
  <c r="U161" i="2"/>
  <c r="U169" i="2" s="1"/>
  <c r="Z161" i="2"/>
  <c r="Z169" i="2" s="1"/>
  <c r="W161" i="2"/>
  <c r="W169" i="2" s="1"/>
  <c r="Y161" i="2"/>
  <c r="Y169" i="2" s="1"/>
  <c r="AD161" i="2"/>
  <c r="AD169" i="2" s="1"/>
  <c r="X161" i="2"/>
  <c r="X169" i="2" s="1"/>
  <c r="AF161" i="2"/>
  <c r="AF169" i="2" s="1"/>
  <c r="AE161" i="2"/>
  <c r="AE169" i="2" s="1"/>
  <c r="T161" i="2"/>
  <c r="T169" i="2" s="1"/>
  <c r="AG161" i="2"/>
  <c r="AG169" i="2" s="1"/>
  <c r="AA161" i="2"/>
  <c r="AA169" i="2" s="1"/>
  <c r="V161" i="2"/>
  <c r="V169" i="2" s="1"/>
  <c r="AA164" i="2"/>
  <c r="AF164" i="2"/>
  <c r="S164" i="2"/>
  <c r="Y164" i="2"/>
  <c r="AG164" i="2"/>
  <c r="W164" i="2"/>
  <c r="Z164" i="2"/>
  <c r="X164" i="2"/>
  <c r="AB164" i="2"/>
  <c r="U164" i="2"/>
  <c r="AD164" i="2"/>
  <c r="Q164" i="2"/>
  <c r="R164" i="2"/>
  <c r="AC164" i="2"/>
  <c r="AE164" i="2"/>
  <c r="V164" i="2"/>
  <c r="T164" i="2"/>
  <c r="AA163" i="2"/>
  <c r="U163" i="2"/>
  <c r="AE163" i="2"/>
  <c r="Q163" i="2"/>
  <c r="Z163" i="2"/>
  <c r="S163" i="2"/>
  <c r="T163" i="2"/>
  <c r="X163" i="2"/>
  <c r="Y163" i="2"/>
  <c r="AF163" i="2"/>
  <c r="AD163" i="2"/>
  <c r="AG163" i="2"/>
  <c r="R163" i="2"/>
  <c r="W163" i="2"/>
  <c r="V163" i="2"/>
  <c r="AB163" i="2"/>
  <c r="AC163" i="2"/>
  <c r="AA159" i="2"/>
  <c r="S159" i="2"/>
  <c r="Y159" i="2"/>
  <c r="AF159" i="2"/>
  <c r="Z159" i="2"/>
  <c r="W159" i="2"/>
  <c r="AC159" i="2"/>
  <c r="AD159" i="2"/>
  <c r="T159" i="2"/>
  <c r="AG159" i="2"/>
  <c r="X159" i="2"/>
  <c r="AE159" i="2"/>
  <c r="R159" i="2"/>
  <c r="U159" i="2"/>
  <c r="AB159" i="2"/>
  <c r="V159" i="2"/>
  <c r="Q159" i="2"/>
  <c r="AX29" i="1"/>
  <c r="AX32" i="1"/>
  <c r="AH173" i="2" l="1"/>
  <c r="BE38" i="1"/>
  <c r="AX28" i="1"/>
  <c r="AB106" i="2"/>
  <c r="AA106" i="2"/>
  <c r="Z106" i="2"/>
  <c r="Z108" i="2"/>
  <c r="AB108" i="2"/>
  <c r="AA108" i="2"/>
  <c r="AH169" i="2"/>
  <c r="AA107" i="2"/>
  <c r="AB107" i="2"/>
  <c r="Z107" i="2"/>
  <c r="AA110" i="2"/>
  <c r="AB110" i="2"/>
  <c r="Z110" i="2"/>
  <c r="Z109" i="2"/>
  <c r="AA109" i="2"/>
  <c r="AB109" i="2"/>
  <c r="Z111" i="2"/>
  <c r="AA111" i="2"/>
  <c r="AB111" i="2"/>
  <c r="AU164" i="1"/>
  <c r="AX164" i="1" s="1"/>
  <c r="AX34" i="1"/>
  <c r="AX33" i="1"/>
  <c r="AH175" i="2" l="1"/>
  <c r="H24" i="2" s="1"/>
  <c r="H28" i="2"/>
  <c r="AQ28" i="2" s="1"/>
  <c r="AV38" i="1" s="1"/>
  <c r="H27" i="2"/>
  <c r="AQ27" i="2" s="1"/>
  <c r="AV40" i="1" s="1"/>
  <c r="H26" i="2"/>
  <c r="H29" i="2"/>
  <c r="AQ29" i="2" s="1"/>
  <c r="AV39" i="1" s="1"/>
  <c r="H30" i="2"/>
  <c r="AQ30" i="2" s="1"/>
  <c r="AV37" i="1" s="1"/>
  <c r="P203" i="2"/>
  <c r="J22" i="2"/>
  <c r="AU24" i="1"/>
  <c r="I39" i="2"/>
  <c r="AQ26" i="2"/>
  <c r="AV41" i="1" s="1"/>
  <c r="Z40" i="1"/>
  <c r="I40" i="2" l="1"/>
  <c r="AY42" i="2" s="1"/>
  <c r="AY46" i="2" s="1"/>
  <c r="AG203" i="2"/>
  <c r="X203" i="2"/>
  <c r="U203" i="2"/>
  <c r="V203" i="2"/>
  <c r="T203" i="2"/>
  <c r="Y203" i="2"/>
  <c r="W203" i="2"/>
  <c r="AD203" i="2"/>
  <c r="R203" i="2"/>
  <c r="S203" i="2"/>
  <c r="AE203" i="2"/>
  <c r="AC203" i="2"/>
  <c r="AF203" i="2"/>
  <c r="Q203" i="2"/>
  <c r="AA203" i="2"/>
  <c r="Z203" i="2"/>
  <c r="AB203" i="2"/>
  <c r="J61" i="2"/>
  <c r="I42" i="2" l="1"/>
  <c r="AY47" i="2"/>
  <c r="L203" i="2"/>
  <c r="CS162" i="1"/>
  <c r="CS161" i="1" s="1"/>
  <c r="W41" i="1" s="1"/>
  <c r="L182" i="2" l="1"/>
  <c r="L179" i="2"/>
  <c r="L178" i="2"/>
  <c r="L181" i="2"/>
  <c r="L184" i="2"/>
  <c r="L183" i="2"/>
  <c r="L180" i="2"/>
  <c r="K203" i="2"/>
  <c r="AD105" i="2" s="1"/>
  <c r="AC106" i="2" l="1"/>
  <c r="AC111" i="2"/>
  <c r="AC110" i="2"/>
  <c r="AC108" i="2"/>
  <c r="AC109" i="2"/>
  <c r="AC107" i="2"/>
  <c r="AF181" i="2"/>
  <c r="AE181" i="2"/>
  <c r="X181" i="2"/>
  <c r="U181" i="2"/>
  <c r="Z181" i="2"/>
  <c r="Q181" i="2"/>
  <c r="AG181" i="2"/>
  <c r="V181" i="2"/>
  <c r="T181" i="2"/>
  <c r="S181" i="2"/>
  <c r="AC181" i="2"/>
  <c r="R181" i="2"/>
  <c r="AB181" i="2"/>
  <c r="Y181" i="2"/>
  <c r="W181" i="2"/>
  <c r="AD181" i="2"/>
  <c r="AA181" i="2"/>
  <c r="Q184" i="2"/>
  <c r="AC184" i="2"/>
  <c r="X184" i="2"/>
  <c r="W184" i="2"/>
  <c r="AG184" i="2"/>
  <c r="V184" i="2"/>
  <c r="AF184" i="2"/>
  <c r="AA184" i="2"/>
  <c r="Z184" i="2"/>
  <c r="S184" i="2"/>
  <c r="AD184" i="2"/>
  <c r="U184" i="2"/>
  <c r="AB184" i="2"/>
  <c r="AE184" i="2"/>
  <c r="Y184" i="2"/>
  <c r="T184" i="2"/>
  <c r="R184" i="2"/>
  <c r="T182" i="2"/>
  <c r="U182" i="2"/>
  <c r="AD182" i="2"/>
  <c r="AB182" i="2"/>
  <c r="Q182" i="2"/>
  <c r="Z182" i="2"/>
  <c r="W182" i="2"/>
  <c r="AG182" i="2"/>
  <c r="AE182" i="2"/>
  <c r="S182" i="2"/>
  <c r="Y182" i="2"/>
  <c r="R182" i="2"/>
  <c r="V182" i="2"/>
  <c r="AC182" i="2"/>
  <c r="AA182" i="2"/>
  <c r="X182" i="2"/>
  <c r="AF182" i="2"/>
  <c r="AF180" i="2"/>
  <c r="AF188" i="2" s="1"/>
  <c r="T180" i="2"/>
  <c r="T188" i="2" s="1"/>
  <c r="AD180" i="2"/>
  <c r="AD188" i="2" s="1"/>
  <c r="Q180" i="2"/>
  <c r="Q188" i="2" s="1"/>
  <c r="AB180" i="2"/>
  <c r="AB188" i="2" s="1"/>
  <c r="X180" i="2"/>
  <c r="X188" i="2" s="1"/>
  <c r="W180" i="2"/>
  <c r="W188" i="2" s="1"/>
  <c r="AC180" i="2"/>
  <c r="AC188" i="2" s="1"/>
  <c r="AE180" i="2"/>
  <c r="AE188" i="2" s="1"/>
  <c r="V180" i="2"/>
  <c r="V188" i="2" s="1"/>
  <c r="Z180" i="2"/>
  <c r="Z188" i="2" s="1"/>
  <c r="AG180" i="2"/>
  <c r="AG188" i="2" s="1"/>
  <c r="S180" i="2"/>
  <c r="S188" i="2" s="1"/>
  <c r="AA180" i="2"/>
  <c r="AA188" i="2" s="1"/>
  <c r="U180" i="2"/>
  <c r="U188" i="2" s="1"/>
  <c r="Y180" i="2"/>
  <c r="Y188" i="2" s="1"/>
  <c r="R180" i="2"/>
  <c r="R188" i="2" s="1"/>
  <c r="AD178" i="2"/>
  <c r="V178" i="2"/>
  <c r="AG178" i="2"/>
  <c r="AE178" i="2"/>
  <c r="W178" i="2"/>
  <c r="Y178" i="2"/>
  <c r="T178" i="2"/>
  <c r="AB178" i="2"/>
  <c r="AC178" i="2"/>
  <c r="S178" i="2"/>
  <c r="AF178" i="2"/>
  <c r="X178" i="2"/>
  <c r="Q178" i="2"/>
  <c r="U178" i="2"/>
  <c r="R178" i="2"/>
  <c r="AA178" i="2"/>
  <c r="Z178" i="2"/>
  <c r="R183" i="2"/>
  <c r="AA183" i="2"/>
  <c r="X183" i="2"/>
  <c r="Q183" i="2"/>
  <c r="AG183" i="2"/>
  <c r="V183" i="2"/>
  <c r="AF183" i="2"/>
  <c r="W183" i="2"/>
  <c r="T183" i="2"/>
  <c r="U183" i="2"/>
  <c r="AE183" i="2"/>
  <c r="AC183" i="2"/>
  <c r="S183" i="2"/>
  <c r="AD183" i="2"/>
  <c r="AB183" i="2"/>
  <c r="Z183" i="2"/>
  <c r="Y183" i="2"/>
  <c r="AF179" i="2"/>
  <c r="AG179" i="2"/>
  <c r="Z179" i="2"/>
  <c r="X179" i="2"/>
  <c r="R179" i="2"/>
  <c r="V179" i="2"/>
  <c r="Y179" i="2"/>
  <c r="Q179" i="2"/>
  <c r="AA179" i="2"/>
  <c r="AE179" i="2"/>
  <c r="U179" i="2"/>
  <c r="T179" i="2"/>
  <c r="AC179" i="2"/>
  <c r="AB179" i="2"/>
  <c r="AD179" i="2"/>
  <c r="W179" i="2"/>
  <c r="S179" i="2"/>
  <c r="AH188" i="2" l="1"/>
  <c r="AH194" i="2" s="1"/>
  <c r="J24" i="2" s="1"/>
  <c r="AE109" i="2"/>
  <c r="AF109" i="2"/>
  <c r="AD109" i="2"/>
  <c r="AE106" i="2"/>
  <c r="AF106" i="2"/>
  <c r="AD106" i="2"/>
  <c r="AD108" i="2"/>
  <c r="AF108" i="2"/>
  <c r="AE108" i="2"/>
  <c r="AF110" i="2"/>
  <c r="AE110" i="2"/>
  <c r="AD110" i="2"/>
  <c r="AE107" i="2"/>
  <c r="AF107" i="2"/>
  <c r="AD107" i="2"/>
  <c r="AF111" i="2"/>
  <c r="AE111" i="2"/>
  <c r="AD111" i="2"/>
  <c r="J28" i="2" l="1"/>
  <c r="AS28" i="2" s="1"/>
  <c r="AY38" i="1" s="1"/>
  <c r="J29" i="2"/>
  <c r="AS29" i="2" s="1"/>
  <c r="AY39" i="1" s="1"/>
  <c r="J27" i="2"/>
  <c r="AS27" i="2" s="1"/>
  <c r="AY40" i="1" s="1"/>
  <c r="J30" i="2"/>
  <c r="AS30" i="2" s="1"/>
  <c r="AY37" i="1" s="1"/>
  <c r="J26" i="2"/>
  <c r="AX24" i="1"/>
  <c r="K39" i="2"/>
  <c r="AS26" i="2"/>
  <c r="AY41" i="1" s="1"/>
  <c r="K40" i="2" l="1"/>
  <c r="BA42" i="2" s="1"/>
  <c r="BA46" i="2" s="1"/>
  <c r="K42" i="2" l="1"/>
  <c r="F43" i="2" s="1"/>
  <c r="G43" i="2" s="1"/>
  <c r="F47" i="2" s="1"/>
  <c r="AL49" i="2" s="1"/>
  <c r="BE10" i="1" s="1"/>
  <c r="BB14" i="1" s="1"/>
  <c r="M50" i="1" s="1"/>
  <c r="BA47" i="2"/>
  <c r="BE23" i="1" l="1"/>
  <c r="G45" i="1" s="1"/>
  <c r="G46" i="1" s="1"/>
  <c r="G50" i="1" s="1"/>
  <c r="BB16" i="1"/>
  <c r="M52" i="1" s="1"/>
  <c r="BB30" i="1"/>
  <c r="C50" i="1" s="1"/>
  <c r="W32" i="1" s="1"/>
  <c r="BB11" i="1"/>
  <c r="M49" i="1" s="1"/>
  <c r="F52" i="2"/>
  <c r="BE18" i="1" s="1"/>
  <c r="W54" i="1" s="1"/>
  <c r="W29" i="1"/>
  <c r="BF16" i="1"/>
  <c r="BF18" i="1"/>
  <c r="Y54" i="1" s="1"/>
  <c r="BF30" i="1"/>
  <c r="BD16" i="1"/>
  <c r="BD15" i="1"/>
  <c r="BD14" i="1"/>
  <c r="BB27" i="1"/>
  <c r="C47" i="1" s="1"/>
  <c r="T28" i="1"/>
  <c r="BB18" i="1"/>
  <c r="M54" i="1" s="1"/>
  <c r="BB28" i="1"/>
  <c r="C48" i="1" s="1"/>
  <c r="BF15" i="1"/>
  <c r="BE30" i="1"/>
  <c r="E50" i="1" s="1"/>
  <c r="Z32" i="1" s="1"/>
  <c r="BD18" i="1"/>
  <c r="BE24" i="1"/>
  <c r="E46" i="1" s="1"/>
  <c r="W48" i="1"/>
  <c r="Y20" i="1" s="1"/>
  <c r="U28" i="1" s="1"/>
  <c r="BB15" i="1"/>
  <c r="M51" i="1" s="1"/>
  <c r="Y24" i="1" l="1"/>
  <c r="BF23" i="1"/>
  <c r="BF19" i="1" s="1"/>
  <c r="Y55" i="1" s="1"/>
  <c r="W30" i="1"/>
  <c r="BD23" i="1"/>
  <c r="BD19" i="1" s="1"/>
  <c r="BB23" i="1"/>
  <c r="BB19" i="1" s="1"/>
  <c r="M55" i="1" s="1"/>
  <c r="BB24" i="1"/>
  <c r="C46" i="1" s="1"/>
  <c r="BE19" i="1"/>
  <c r="W55" i="1" s="1"/>
  <c r="BG30" i="1"/>
  <c r="BB33" i="1"/>
  <c r="C53" i="1" s="1"/>
  <c r="U27" i="1"/>
  <c r="BB29" i="1"/>
  <c r="C49" i="1" s="1"/>
  <c r="BB31" i="1"/>
  <c r="C51" i="1" s="1"/>
  <c r="W33" i="1" s="1"/>
  <c r="BB32" i="1"/>
  <c r="C52" i="1" s="1"/>
  <c r="W34" i="1" s="1"/>
  <c r="W31" i="1"/>
  <c r="C45" i="1" l="1"/>
</calcChain>
</file>

<file path=xl/comments1.xml><?xml version="1.0" encoding="utf-8"?>
<comments xmlns="http://schemas.openxmlformats.org/spreadsheetml/2006/main">
  <authors>
    <author>mochammad ali budiman</author>
  </authors>
  <commentList>
    <comment ref="Y15" authorId="0">
      <text>
        <r>
          <rPr>
            <b/>
            <sz val="9"/>
            <color indexed="81"/>
            <rFont val="Tahoma"/>
            <family val="2"/>
          </rPr>
          <t>Temperatur normal water : 20deg C-30deg C</t>
        </r>
      </text>
    </comment>
    <comment ref="AR17" authorId="0">
      <text>
        <r>
          <rPr>
            <b/>
            <sz val="9"/>
            <color indexed="81"/>
            <rFont val="Tahoma"/>
            <family val="2"/>
          </rPr>
          <t>Discharge Head (Hd) :
shower : 10mtr-20mtr
kran biasa : 3mtr
boiler : 60mtr-100mtr
cuci mobil : 70mtr-100mtr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Pressure drop for : Y-Strainer, screen, flexible joint, storage tank, etc.</t>
        </r>
      </text>
    </comment>
    <comment ref="AR42" authorId="0">
      <text>
        <r>
          <rPr>
            <b/>
            <sz val="9"/>
            <color indexed="81"/>
            <rFont val="Tahoma"/>
            <family val="2"/>
          </rPr>
          <t>Pressure drop for : PRV, motorized valve, storage tank, chiller, heater, flexible joint, etc.</t>
        </r>
      </text>
    </comment>
    <comment ref="AU42" authorId="0">
      <text>
        <r>
          <rPr>
            <b/>
            <sz val="9"/>
            <color indexed="81"/>
            <rFont val="Tahoma"/>
            <family val="2"/>
          </rPr>
          <t>Pressure drop for : PRV, motorized valve, storage tank, chiller, heater, flexible joint,etc</t>
        </r>
      </text>
    </comment>
    <comment ref="AX42" authorId="0">
      <text>
        <r>
          <rPr>
            <b/>
            <sz val="9"/>
            <color indexed="81"/>
            <rFont val="Tahoma"/>
            <family val="2"/>
          </rPr>
          <t>Pressure drop for : PRV, motorized valve, storage tank, chiller, heater, flexible joint,etc.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Pressure drop for : Y-Strainer, screen, flexible joint, storage tank, etc.</t>
        </r>
      </text>
    </comment>
  </commentList>
</comments>
</file>

<file path=xl/sharedStrings.xml><?xml version="1.0" encoding="utf-8"?>
<sst xmlns="http://schemas.openxmlformats.org/spreadsheetml/2006/main" count="1106" uniqueCount="328">
  <si>
    <t>Mtr</t>
  </si>
  <si>
    <t xml:space="preserve"> </t>
  </si>
  <si>
    <t>SUCTION PIPE</t>
  </si>
  <si>
    <t>Tee</t>
  </si>
  <si>
    <t>Foot valve</t>
  </si>
  <si>
    <t>DISCHARGE PIPE</t>
  </si>
  <si>
    <t>PUMP SPECIFICATION</t>
  </si>
  <si>
    <t>Duty Capacity</t>
  </si>
  <si>
    <t>NPSH req'd.</t>
  </si>
  <si>
    <t>MM</t>
  </si>
  <si>
    <t>M/Sec</t>
  </si>
  <si>
    <t>%</t>
  </si>
  <si>
    <t>TYPE</t>
  </si>
  <si>
    <t>EFFISIENSI-PUMP</t>
  </si>
  <si>
    <t>0.9 - 1.2 Mtr/Sec….. Ideal</t>
  </si>
  <si>
    <t>1.5-2 Mtr/Sec……… Max.</t>
  </si>
  <si>
    <t>(Tabel)</t>
  </si>
  <si>
    <t>NPSH avail. (Calculation)</t>
  </si>
  <si>
    <t>NPSH req'd. (Pump Data)</t>
  </si>
  <si>
    <t>Discharge : Pipe Diameter</t>
  </si>
  <si>
    <t xml:space="preserve">                  Velocity</t>
  </si>
  <si>
    <t>Suction     : Pipe Diameter</t>
  </si>
  <si>
    <t>Pump</t>
  </si>
  <si>
    <t>-</t>
  </si>
  <si>
    <t>Check Valve</t>
  </si>
  <si>
    <t>K value</t>
  </si>
  <si>
    <t>Suction</t>
  </si>
  <si>
    <t>Discharge</t>
  </si>
  <si>
    <t>Unit</t>
  </si>
  <si>
    <t>Q'ty</t>
  </si>
  <si>
    <t>Description</t>
  </si>
  <si>
    <t>Fitting</t>
  </si>
  <si>
    <t>Pipe</t>
  </si>
  <si>
    <t>FRICTION LOSSES</t>
  </si>
  <si>
    <t>Sub-Total</t>
  </si>
  <si>
    <t>H Suction (Design)</t>
  </si>
  <si>
    <t>Butterfly  Valve</t>
  </si>
  <si>
    <t>Butterfly valve</t>
  </si>
  <si>
    <t>Diameter  (MM)</t>
  </si>
  <si>
    <t>No.</t>
  </si>
  <si>
    <t>Ball Valve</t>
  </si>
  <si>
    <t>Elbow (90o)</t>
  </si>
  <si>
    <t>Foot Valve</t>
  </si>
  <si>
    <t>Butterfly Valve</t>
  </si>
  <si>
    <t>Swing Chek Valve</t>
  </si>
  <si>
    <r>
      <t>L Elbow 90</t>
    </r>
    <r>
      <rPr>
        <vertAlign val="superscript"/>
        <sz val="8"/>
        <rFont val="Arial"/>
        <family val="2"/>
      </rPr>
      <t>o</t>
    </r>
  </si>
  <si>
    <t>Hv (Meter)</t>
  </si>
  <si>
    <r>
      <t>tm (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>C)</t>
    </r>
  </si>
  <si>
    <t>Tabel-k Factor</t>
  </si>
  <si>
    <t>Tabel-Hv</t>
  </si>
  <si>
    <t>Keterangan</t>
  </si>
  <si>
    <t>Tinggi Pipa Hisap (Hs)</t>
  </si>
  <si>
    <t>Panjang Pipa Hisap (Ls)</t>
  </si>
  <si>
    <t>Diameter pipa hisap</t>
  </si>
  <si>
    <t>Diameter pipa keluar</t>
  </si>
  <si>
    <t>Tinggi geodetic (Hg)</t>
  </si>
  <si>
    <t>HASIL PERHITUNGAN</t>
  </si>
  <si>
    <t>Q &amp; H POMPA</t>
  </si>
  <si>
    <t>FLOW RATE (Q)</t>
  </si>
  <si>
    <t>KALKULASI TOTAL HEAD, CHECK KAVITASI &amp; DIA. PIPA</t>
  </si>
  <si>
    <t>WILLIAM HAZEN METHODE</t>
  </si>
  <si>
    <t>By : MA. Budiman</t>
  </si>
  <si>
    <t>Tidak terjadi kavitasi</t>
  </si>
  <si>
    <t>Panjang pipa keluar (Ld)</t>
  </si>
  <si>
    <t>Tdk terjadi kavitasi</t>
  </si>
  <si>
    <t>V recommended</t>
  </si>
  <si>
    <t>Discharge Head (Pressure kran)</t>
  </si>
  <si>
    <t>0.9 - 2 M/Sec</t>
  </si>
  <si>
    <t>INPUT DATA</t>
  </si>
  <si>
    <t>Velocity recommended</t>
  </si>
  <si>
    <t>CEK KAVITASI, VELOCITY &amp; DIA. PIPA</t>
  </si>
  <si>
    <r>
      <t xml:space="preserve">NPSH avail </t>
    </r>
    <r>
      <rPr>
        <sz val="10"/>
        <rFont val="Arial"/>
        <family val="2"/>
      </rPr>
      <t>&gt;</t>
    </r>
    <r>
      <rPr>
        <sz val="8"/>
        <rFont val="Arial"/>
        <family val="2"/>
      </rPr>
      <t xml:space="preserve"> NPSH req'd.</t>
    </r>
  </si>
  <si>
    <t>If (+) suction, Hs (-)</t>
  </si>
  <si>
    <r>
      <t>If NPSHa</t>
    </r>
    <r>
      <rPr>
        <b/>
        <sz val="10"/>
        <rFont val="Arial"/>
        <family val="2"/>
      </rPr>
      <t xml:space="preserve"> &gt; </t>
    </r>
    <r>
      <rPr>
        <sz val="8"/>
        <rFont val="Arial"/>
        <family val="2"/>
      </rPr>
      <t>NPSHr</t>
    </r>
  </si>
  <si>
    <t>H Suction (Recommended)</t>
  </si>
  <si>
    <t>L/Sec</t>
  </si>
  <si>
    <t>Nilai</t>
  </si>
  <si>
    <t>If (-) posisi (+) suct</t>
  </si>
  <si>
    <t>Satuan</t>
  </si>
  <si>
    <t>Input Data</t>
  </si>
  <si>
    <t>Ball valve (15-40) Butterfly Valve</t>
  </si>
  <si>
    <r>
      <t>o</t>
    </r>
    <r>
      <rPr>
        <sz val="8"/>
        <rFont val="Arial"/>
        <family val="2"/>
      </rPr>
      <t>C</t>
    </r>
  </si>
  <si>
    <t>Hasil Iterasi</t>
  </si>
  <si>
    <t xml:space="preserve">H Evaporation </t>
  </si>
  <si>
    <t>Temp. Air</t>
  </si>
  <si>
    <r>
      <t>o</t>
    </r>
    <r>
      <rPr>
        <sz val="10"/>
        <rFont val="Arial"/>
        <family val="2"/>
      </rPr>
      <t>C (Temperatur Air)</t>
    </r>
  </si>
  <si>
    <t>Pressure drop equipment</t>
  </si>
  <si>
    <t>Roughness Coeffisient (Max.-Min.)</t>
  </si>
  <si>
    <t>TOTAL HEAD (H) (Max &amp; Min)</t>
  </si>
  <si>
    <t>mm</t>
  </si>
  <si>
    <t>mtr</t>
  </si>
  <si>
    <t>Tanpa Suction</t>
  </si>
  <si>
    <t>m/s</t>
  </si>
  <si>
    <t>Concrete</t>
  </si>
  <si>
    <t>Stainless steel</t>
  </si>
  <si>
    <t>Copper type B</t>
  </si>
  <si>
    <t>Ductile CI uncoated class K12</t>
  </si>
  <si>
    <t>Inside dia. Suction</t>
  </si>
  <si>
    <t xml:space="preserve">       </t>
  </si>
  <si>
    <t>Inside dia discharge</t>
  </si>
  <si>
    <t>Nom dia.</t>
  </si>
  <si>
    <t>Inside dia.</t>
  </si>
  <si>
    <t>Galv. Iron Medium</t>
  </si>
  <si>
    <t>Steel pipe sch. 40</t>
  </si>
  <si>
    <t>Coeefisient</t>
  </si>
  <si>
    <t>kW</t>
  </si>
  <si>
    <t>Pressure Drop-1</t>
  </si>
  <si>
    <t>Pressure Drop-2</t>
  </si>
  <si>
    <t>Pressure Drop-3</t>
  </si>
  <si>
    <t>:</t>
  </si>
  <si>
    <t xml:space="preserve">Pilih Material  Pipa (1-7) </t>
  </si>
  <si>
    <t xml:space="preserve">Pressure Drop-2           </t>
  </si>
  <si>
    <r>
      <t xml:space="preserve"> o </t>
    </r>
    <r>
      <rPr>
        <sz val="8"/>
        <rFont val="Arial"/>
        <family val="2"/>
      </rPr>
      <t>C</t>
    </r>
  </si>
  <si>
    <t>HANZEN WILLIAM CONSTANT</t>
  </si>
  <si>
    <t>Hanzen William constant (Suction)</t>
  </si>
  <si>
    <t>Hanzen William constant (Discharge)</t>
  </si>
  <si>
    <t>PVC Class 15</t>
  </si>
  <si>
    <t>Polyethilene Class-6</t>
  </si>
  <si>
    <t>Total Suction + Discharge +SF</t>
  </si>
  <si>
    <t>Mtr/SF</t>
  </si>
  <si>
    <t>Discharge Pipa-1</t>
  </si>
  <si>
    <t>Discharge Pipa-2</t>
  </si>
  <si>
    <t>Discharge Pipa-3</t>
  </si>
  <si>
    <t>Inside dia discharge pipa-3</t>
  </si>
  <si>
    <t>Inside dia discharge pipa-2</t>
  </si>
  <si>
    <t>Inside dia discharge pipa-1</t>
  </si>
  <si>
    <t>Pipa suction &amp; Pipa-1</t>
  </si>
  <si>
    <t>Pipa-2</t>
  </si>
  <si>
    <t>Pipa-3</t>
  </si>
  <si>
    <t xml:space="preserve"> :</t>
  </si>
  <si>
    <t>pcs</t>
  </si>
  <si>
    <t xml:space="preserve">Velocity (Ideal 0.9-2 m/s) </t>
  </si>
  <si>
    <r>
      <t>d1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=</t>
    </r>
  </si>
  <si>
    <r>
      <t>d2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=</t>
    </r>
  </si>
  <si>
    <r>
      <t>d3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=</t>
    </r>
  </si>
  <si>
    <r>
      <t>q1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=</t>
    </r>
  </si>
  <si>
    <r>
      <t>q2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=</t>
    </r>
  </si>
  <si>
    <r>
      <t>d1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/d2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=</t>
    </r>
  </si>
  <si>
    <r>
      <t>d2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/d3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=</t>
    </r>
    <r>
      <rPr>
        <vertAlign val="superscript"/>
        <sz val="8"/>
        <rFont val="Arial"/>
        <family val="2"/>
      </rPr>
      <t xml:space="preserve"> </t>
    </r>
  </si>
  <si>
    <t>q1 &lt; 45</t>
  </si>
  <si>
    <t>45&lt;q1&lt;180</t>
  </si>
  <si>
    <t>K</t>
  </si>
  <si>
    <t>Pipa-1,</t>
  </si>
  <si>
    <t>H. Loss</t>
  </si>
  <si>
    <t>Pipa-1/100m</t>
  </si>
  <si>
    <t>Pipa-s,</t>
  </si>
  <si>
    <t>Fitting Pipa-s</t>
  </si>
  <si>
    <t>Pipa-s/100m</t>
  </si>
  <si>
    <t>Velocity (Ok = Ideal)</t>
  </si>
  <si>
    <t>Tot. head (H)</t>
  </si>
  <si>
    <t>S</t>
  </si>
  <si>
    <t>D1</t>
  </si>
  <si>
    <t>D2</t>
  </si>
  <si>
    <t>D3</t>
  </si>
  <si>
    <t>Diameter pipa (mm)</t>
  </si>
  <si>
    <t>Dischsrge 1</t>
  </si>
  <si>
    <t>Dischsrge 2</t>
  </si>
  <si>
    <t>Dischsrge 3</t>
  </si>
  <si>
    <t>Ketebalan air (sistem 2 &amp; 3)</t>
  </si>
  <si>
    <t>Tw (minimum)</t>
  </si>
  <si>
    <t>Tw (minimum) 2</t>
  </si>
  <si>
    <t>Tw (minimum) 3</t>
  </si>
  <si>
    <t>NPSH avail. Sis 2 (Calculation)</t>
  </si>
  <si>
    <r>
      <t>m</t>
    </r>
    <r>
      <rPr>
        <vertAlign val="super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>/hr</t>
    </r>
  </si>
  <si>
    <t xml:space="preserve">Masa aktif sudah habis. Untuk perpanjang ketik di dalam kotak dg angka 1:  </t>
  </si>
  <si>
    <t>hari perpanjangan</t>
  </si>
  <si>
    <t>batas minus</t>
  </si>
  <si>
    <t>min pasw</t>
  </si>
  <si>
    <t>Juml hari/ tahun + perpanjangan</t>
  </si>
  <si>
    <t>Masa berlaku</t>
  </si>
  <si>
    <t>Masa aktif sudah habis. Untuk aktivasi hubungi Hp diatas</t>
  </si>
  <si>
    <t>pasw nama</t>
  </si>
  <si>
    <t>AL1</t>
  </si>
  <si>
    <t xml:space="preserve">Input manual inner dia? (Y/T)         </t>
  </si>
  <si>
    <t>If Y, Input inner dia. pipe</t>
  </si>
  <si>
    <t xml:space="preserve">Flow rate (Q)             </t>
  </si>
  <si>
    <t>Flow rate (Q)        m3/jam</t>
  </si>
  <si>
    <t>Inner diameter</t>
  </si>
  <si>
    <t>Dia. of pipe (Ok = Ideal)</t>
  </si>
  <si>
    <t>Material &amp; inner dia. pipe……...</t>
  </si>
  <si>
    <t>Result</t>
  </si>
  <si>
    <t>Pipe Diameter (Ok = Ideal)</t>
  </si>
  <si>
    <t>gound level</t>
  </si>
  <si>
    <t>Discharge-1</t>
  </si>
  <si>
    <t>Discharge-2</t>
  </si>
  <si>
    <t>Discharge-3</t>
  </si>
  <si>
    <t>Galvanized Iron</t>
  </si>
  <si>
    <t>Copper</t>
  </si>
  <si>
    <t>Ductil CI uncoat-K12</t>
  </si>
  <si>
    <t>PE Class-6</t>
  </si>
  <si>
    <t>PVC Class-15</t>
  </si>
  <si>
    <t>0 mm</t>
  </si>
  <si>
    <t>15 mm</t>
  </si>
  <si>
    <t>20 mm</t>
  </si>
  <si>
    <t>25 mm</t>
  </si>
  <si>
    <t>32 mm</t>
  </si>
  <si>
    <t>40 mm</t>
  </si>
  <si>
    <t>50 mm</t>
  </si>
  <si>
    <t>65 mm</t>
  </si>
  <si>
    <t>80 mm</t>
  </si>
  <si>
    <t>100 mm</t>
  </si>
  <si>
    <t>125 mm</t>
  </si>
  <si>
    <t>150 mm</t>
  </si>
  <si>
    <t>200 mm</t>
  </si>
  <si>
    <t>250 mm</t>
  </si>
  <si>
    <t>300 mm</t>
  </si>
  <si>
    <t>400 mm</t>
  </si>
  <si>
    <t>450 mm</t>
  </si>
  <si>
    <t>600 mm</t>
  </si>
  <si>
    <t>No.1: Negatif suction /w positif discharge</t>
  </si>
  <si>
    <t>No.3 : Sewage pump /w positif discharge</t>
  </si>
  <si>
    <t>No.4 : Posiitif suction /w negatif discharge</t>
  </si>
  <si>
    <t>No.5 : Positif suction /w positif discharge</t>
  </si>
  <si>
    <t>No.6 : Negatif suction /w negatif discharge</t>
  </si>
  <si>
    <t>No.7 : Closed loop</t>
  </si>
  <si>
    <t>No.2 : Deepweel pump /w positif disch.</t>
  </si>
  <si>
    <t>Y</t>
  </si>
  <si>
    <t>T</t>
  </si>
  <si>
    <t xml:space="preserve">    C  </t>
  </si>
  <si>
    <t>Start masa berlaku</t>
  </si>
  <si>
    <t>Juml hari masa berlaku</t>
  </si>
  <si>
    <t>Akhir masa berlaku</t>
  </si>
  <si>
    <t>hari</t>
  </si>
  <si>
    <t>meter</t>
  </si>
  <si>
    <t>Dated</t>
  </si>
  <si>
    <t>m3/hr</t>
  </si>
  <si>
    <t>m3/m</t>
  </si>
  <si>
    <t>m3/s</t>
  </si>
  <si>
    <t>us gpm</t>
  </si>
  <si>
    <t>Lpm</t>
  </si>
  <si>
    <t>Lps</t>
  </si>
  <si>
    <t>Data input</t>
  </si>
  <si>
    <t>Selection input</t>
  </si>
  <si>
    <t>Calculation result</t>
  </si>
  <si>
    <t>Check &amp; Warning</t>
  </si>
  <si>
    <t>Pipa-1</t>
  </si>
  <si>
    <t>Ld1</t>
  </si>
  <si>
    <t>Ld2</t>
  </si>
  <si>
    <t>Ld3</t>
  </si>
  <si>
    <t>No. ball valve</t>
  </si>
  <si>
    <t>No. butterfly valve</t>
  </si>
  <si>
    <t>No. check valve</t>
  </si>
  <si>
    <r>
      <t>No. elbow 90</t>
    </r>
    <r>
      <rPr>
        <vertAlign val="superscript"/>
        <sz val="8"/>
        <rFont val="Arial"/>
        <family val="2"/>
      </rPr>
      <t>o</t>
    </r>
  </si>
  <si>
    <t>No. Tee</t>
  </si>
  <si>
    <t>IIIIIIIIIIIIII</t>
  </si>
  <si>
    <t xml:space="preserve">        Ld1</t>
  </si>
  <si>
    <t xml:space="preserve"> Ls</t>
  </si>
  <si>
    <t xml:space="preserve">Data base </t>
  </si>
  <si>
    <t>Pipe level</t>
  </si>
  <si>
    <t>Ls</t>
  </si>
  <si>
    <t>Ø mm</t>
  </si>
  <si>
    <t>) pcs</t>
  </si>
  <si>
    <t>No. ball valve         (k :</t>
  </si>
  <si>
    <t xml:space="preserve">No. butterfly valve (k :  </t>
  </si>
  <si>
    <t>No. chek valve       (k :</t>
  </si>
  <si>
    <r>
      <t>No. elbow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       (k :</t>
    </r>
  </si>
  <si>
    <t>No. Tee                  (k :</t>
  </si>
  <si>
    <t xml:space="preserve">No. foot valve        (k :             </t>
  </si>
  <si>
    <t>Select of piping configuration</t>
  </si>
  <si>
    <t>Hazen W. Constanta ( C )</t>
  </si>
  <si>
    <t>3 outlet pipe : Ld1+Ld2+Ld3</t>
  </si>
  <si>
    <t>2 outlet pipe : Ld1+Ld2</t>
  </si>
  <si>
    <t>1 outlet pipe : Ld1</t>
  </si>
  <si>
    <t>Vapour press :</t>
  </si>
  <si>
    <t>Water temp.    :</t>
  </si>
  <si>
    <t>Eff. Pump        :</t>
  </si>
  <si>
    <t>P2, Power       :</t>
  </si>
  <si>
    <t>L</t>
  </si>
  <si>
    <t>Q %</t>
  </si>
  <si>
    <t>L meter</t>
  </si>
  <si>
    <t xml:space="preserve">Flow rate (Q)    </t>
  </si>
  <si>
    <t>Bar</t>
  </si>
  <si>
    <t>Pascal</t>
  </si>
  <si>
    <t>Psi</t>
  </si>
  <si>
    <t>pascal</t>
  </si>
  <si>
    <t>M (H2O)</t>
  </si>
  <si>
    <t>Pressure convertion</t>
  </si>
  <si>
    <t>M3/mnt</t>
  </si>
  <si>
    <t>M3/sec</t>
  </si>
  <si>
    <t>M3/hr</t>
  </si>
  <si>
    <t>US Gpm</t>
  </si>
  <si>
    <t>Flow rate convertion</t>
  </si>
  <si>
    <t>NPSHr, pump  :</t>
  </si>
  <si>
    <t>Total Head/ H  :</t>
  </si>
  <si>
    <t xml:space="preserve">Flow rate/ Q  :  </t>
  </si>
  <si>
    <t>No.8: Positif suction w/ injection pressure</t>
  </si>
  <si>
    <t xml:space="preserve"> mtr</t>
  </si>
  <si>
    <t>Q2</t>
  </si>
  <si>
    <t>Q3</t>
  </si>
  <si>
    <t>in dia-2</t>
  </si>
  <si>
    <t>in dia-3</t>
  </si>
  <si>
    <t>How many the series outlet pipe</t>
  </si>
  <si>
    <t xml:space="preserve">Flow rate (Q)   </t>
  </si>
  <si>
    <t xml:space="preserve">Lenght : Ld1-Ld2-Ld3 </t>
  </si>
  <si>
    <t>Discharge/ outlet pipe</t>
  </si>
  <si>
    <t xml:space="preserve">Input inner diameter ? Y/T         </t>
  </si>
  <si>
    <t>If  Y, Input inner dia.</t>
  </si>
  <si>
    <t>Name</t>
  </si>
  <si>
    <t>Project</t>
  </si>
  <si>
    <t>pipe1</t>
  </si>
  <si>
    <t>pipe2</t>
  </si>
  <si>
    <t>pipe3</t>
  </si>
  <si>
    <t>2 of series outlet pipe : Ld1+Ld2</t>
  </si>
  <si>
    <t>3 of series outlet pipe : Ld1+Ld2+Ld3</t>
  </si>
  <si>
    <t>Loop system at outlet pipe : Ld1+Ld2+Ld3</t>
  </si>
  <si>
    <t>Loop system at outlet pipe</t>
  </si>
  <si>
    <t>T2-loop pipe:Ld1+Ld2+Ld31</t>
  </si>
  <si>
    <t>T1-loop pipe:Ld1+Ld2+Ld3</t>
  </si>
  <si>
    <t>T3-loop pipe:Ld1+Ld21</t>
  </si>
  <si>
    <t>Qd2 :</t>
  </si>
  <si>
    <t>Qd3 :</t>
  </si>
  <si>
    <t>with different diameter is used ?</t>
  </si>
  <si>
    <t>(Pressure at the end of outlet pipe)</t>
  </si>
  <si>
    <t>Trial 1-loop/Branch 1, 3 pipe : Ld1+Ld2+Ld3</t>
  </si>
  <si>
    <t>Trial 2-loop/Branch 2, 3 pipe : Ld1+Ld2+Ld31</t>
  </si>
  <si>
    <t>Trial 3-loop/Branch 3, 2 pipe : Ld1+Ld21</t>
  </si>
  <si>
    <t>Flow/Q, length, inner Ø pipe</t>
  </si>
  <si>
    <t>Pipe-1</t>
  </si>
  <si>
    <t>Pipe-2</t>
  </si>
  <si>
    <t>Pipe-3</t>
  </si>
  <si>
    <t xml:space="preserve">Velocity Ideal 0.9-2 m/sec        </t>
  </si>
  <si>
    <t>SF,Head loss pipe, fitting</t>
  </si>
  <si>
    <t>Select, diameter nominal</t>
  </si>
  <si>
    <t>Select, material pipe</t>
  </si>
  <si>
    <t>Flow rate (Q %)         Qd1</t>
  </si>
  <si>
    <t>Calculator for  "Pump Total Head/Power, Cavitation Analisys &amp; Piping Design" (Hazen W.)</t>
  </si>
  <si>
    <t>Guidance of calculator, see to Youtube NEWTONUS PUMP  "Training part 15"</t>
  </si>
  <si>
    <t>By : Ir. MA. Budiman, Hp. 087770678615, mochalibudiman@gmail.com, R230501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</si>
</sst>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0.00;[Red]0.00"/>
    <numFmt numFmtId="171" formatCode="0.0;[Red]0.0"/>
    <numFmt numFmtId="172" formatCode="0;[Red]0"/>
    <numFmt numFmtId="173" formatCode="_(* #,##0.00_);_(* \(#,##0.00\);_(* &quot;-&quot;_);_(@_)"/>
    <numFmt numFmtId="174" formatCode="dd/mm/yyyy;@"/>
    <numFmt numFmtId="175" formatCode="_(* #,##0.0_);_(* \(#,##0.0\);_(* &quot;-&quot;_);_(@_)"/>
    <numFmt numFmtId="176" formatCode="_(* #,##0.0_);_(* \(#,##0.0\);_(* &quot;-&quot;?_);_(@_)"/>
    <numFmt numFmtId="177" formatCode="#,##0.000"/>
    <numFmt numFmtId="178" formatCode="_(* #,##0.000000_);_(* \(#,##0.000000\);_(* &quot;-&quot;_);_(@_)"/>
    <numFmt numFmtId="179" formatCode="_-* #,##0.0000_-;\-* #,##0.0000_-;_-* &quot;-&quot;??_-;_-@_-"/>
    <numFmt numFmtId="180" formatCode="_-* #,##0.00000_-;\-* #,##0.00000_-;_-* &quot;-&quot;??_-;_-@_-"/>
    <numFmt numFmtId="181" formatCode="0.0000"/>
    <numFmt numFmtId="182" formatCode="0.000"/>
  </numFmts>
  <fonts count="10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9"/>
      <color indexed="12"/>
      <name val="Arial"/>
      <family val="2"/>
    </font>
    <font>
      <sz val="7"/>
      <color indexed="12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Symbol"/>
      <family val="1"/>
      <charset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8"/>
      <color indexed="9"/>
      <name val="Arial"/>
      <family val="2"/>
    </font>
    <font>
      <u/>
      <sz val="12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7"/>
      <color theme="0"/>
      <name val="Arial"/>
      <family val="2"/>
    </font>
    <font>
      <sz val="8"/>
      <color theme="1" tint="4.9989318521683403E-2"/>
      <name val="Arial"/>
      <family val="2"/>
    </font>
    <font>
      <sz val="9"/>
      <color theme="0"/>
      <name val="Arial"/>
      <family val="2"/>
    </font>
    <font>
      <sz val="10"/>
      <color theme="9" tint="-0.249977111117893"/>
      <name val="Arial"/>
      <family val="2"/>
    </font>
    <font>
      <sz val="8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  <font>
      <b/>
      <sz val="8"/>
      <color theme="0" tint="-0.14999847407452621"/>
      <name val="Arial"/>
      <family val="2"/>
    </font>
    <font>
      <sz val="9"/>
      <color rgb="FF0070C0"/>
      <name val="Arial"/>
      <family val="2"/>
    </font>
    <font>
      <sz val="10"/>
      <color rgb="FFFF0000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color rgb="FF111111"/>
      <name val="Arial"/>
      <family val="2"/>
    </font>
    <font>
      <sz val="8"/>
      <name val="Calibri"/>
      <family val="2"/>
    </font>
    <font>
      <sz val="8"/>
      <color rgb="FF111111"/>
      <name val="Arial"/>
      <family val="2"/>
    </font>
    <font>
      <b/>
      <sz val="7"/>
      <color rgb="FF111111"/>
      <name val="Arial"/>
      <family val="2"/>
    </font>
    <font>
      <u/>
      <sz val="8"/>
      <color rgb="FF111111"/>
      <name val="Arial Narrow"/>
      <family val="2"/>
    </font>
    <font>
      <b/>
      <u/>
      <sz val="8"/>
      <color rgb="FF111111"/>
      <name val="Arial Narrow"/>
      <family val="2"/>
    </font>
    <font>
      <sz val="8"/>
      <color rgb="FF111111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sz val="10"/>
      <name val="Calibri"/>
      <family val="2"/>
    </font>
    <font>
      <sz val="12"/>
      <color theme="0" tint="-0.34998626667073579"/>
      <name val="Arial"/>
      <family val="2"/>
    </font>
    <font>
      <sz val="8"/>
      <color rgb="FF0070C0"/>
      <name val="Arial Narrow"/>
      <family val="2"/>
    </font>
    <font>
      <sz val="10"/>
      <color rgb="FF111111"/>
      <name val="Arial"/>
      <family val="2"/>
    </font>
    <font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rgb="FF00B0F0"/>
      <name val="Arial"/>
      <family val="2"/>
    </font>
    <font>
      <b/>
      <sz val="8"/>
      <color rgb="FFFFC000"/>
      <name val="Arial"/>
      <family val="2"/>
    </font>
    <font>
      <b/>
      <sz val="8"/>
      <color rgb="FF00B050"/>
      <name val="Arial"/>
      <family val="2"/>
    </font>
    <font>
      <b/>
      <sz val="8"/>
      <color rgb="FF002060"/>
      <name val="Arial Narrow"/>
      <family val="2"/>
    </font>
    <font>
      <b/>
      <sz val="10"/>
      <color rgb="FF111111"/>
      <name val="Arial"/>
      <family val="2"/>
    </font>
    <font>
      <b/>
      <sz val="8"/>
      <color rgb="FF111111"/>
      <name val="Arial Narrow"/>
      <family val="2"/>
    </font>
    <font>
      <sz val="8"/>
      <color rgb="FF002060"/>
      <name val="Arial Narrow"/>
      <family val="2"/>
    </font>
    <font>
      <sz val="10"/>
      <color theme="1"/>
      <name val="Arial"/>
      <family val="2"/>
    </font>
    <font>
      <sz val="7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0" xfId="0" applyNumberFormat="1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5" fillId="2" borderId="4" xfId="0" applyFont="1" applyFill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167" fontId="4" fillId="3" borderId="0" xfId="3" applyNumberFormat="1" applyFont="1" applyFill="1" applyBorder="1" applyAlignment="1">
      <alignment horizontal="center"/>
    </xf>
    <xf numFmtId="0" fontId="4" fillId="4" borderId="0" xfId="0" applyFont="1" applyFill="1" applyBorder="1"/>
    <xf numFmtId="0" fontId="4" fillId="0" borderId="9" xfId="0" applyFont="1" applyBorder="1"/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Fill="1" applyBorder="1"/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13" xfId="1" applyNumberFormat="1" applyFont="1" applyBorder="1" applyAlignment="1"/>
    <xf numFmtId="0" fontId="4" fillId="0" borderId="10" xfId="0" applyFont="1" applyBorder="1" applyAlignment="1"/>
    <xf numFmtId="165" fontId="4" fillId="0" borderId="2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0" xfId="0" applyFont="1" applyBorder="1"/>
    <xf numFmtId="0" fontId="10" fillId="3" borderId="0" xfId="0" applyFont="1" applyFill="1" applyBorder="1"/>
    <xf numFmtId="0" fontId="10" fillId="3" borderId="12" xfId="0" applyFont="1" applyFill="1" applyBorder="1" applyAlignment="1"/>
    <xf numFmtId="0" fontId="10" fillId="3" borderId="0" xfId="0" applyFont="1" applyFill="1" applyBorder="1" applyAlignment="1"/>
    <xf numFmtId="0" fontId="11" fillId="0" borderId="12" xfId="0" applyFont="1" applyBorder="1" applyAlignment="1"/>
    <xf numFmtId="0" fontId="0" fillId="0" borderId="3" xfId="0" applyBorder="1" applyAlignment="1"/>
    <xf numFmtId="0" fontId="0" fillId="0" borderId="9" xfId="0" applyBorder="1" applyAlignment="1"/>
    <xf numFmtId="0" fontId="4" fillId="0" borderId="3" xfId="0" applyFont="1" applyBorder="1" applyAlignment="1"/>
    <xf numFmtId="0" fontId="7" fillId="0" borderId="12" xfId="0" applyFont="1" applyBorder="1" applyAlignment="1"/>
    <xf numFmtId="0" fontId="7" fillId="0" borderId="0" xfId="0" applyFont="1" applyBorder="1" applyAlignment="1"/>
    <xf numFmtId="0" fontId="4" fillId="0" borderId="1" xfId="0" applyFont="1" applyBorder="1"/>
    <xf numFmtId="0" fontId="4" fillId="0" borderId="3" xfId="0" applyFont="1" applyBorder="1"/>
    <xf numFmtId="0" fontId="2" fillId="0" borderId="17" xfId="0" applyFont="1" applyBorder="1" applyAlignment="1"/>
    <xf numFmtId="0" fontId="4" fillId="0" borderId="12" xfId="0" applyFont="1" applyBorder="1"/>
    <xf numFmtId="0" fontId="4" fillId="4" borderId="12" xfId="0" applyFont="1" applyFill="1" applyBorder="1"/>
    <xf numFmtId="0" fontId="4" fillId="4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10" fillId="0" borderId="12" xfId="0" applyFont="1" applyBorder="1"/>
    <xf numFmtId="0" fontId="10" fillId="3" borderId="12" xfId="0" applyFont="1" applyFill="1" applyBorder="1"/>
    <xf numFmtId="0" fontId="4" fillId="3" borderId="12" xfId="0" applyFont="1" applyFill="1" applyBorder="1"/>
    <xf numFmtId="0" fontId="4" fillId="5" borderId="12" xfId="0" applyFont="1" applyFill="1" applyBorder="1"/>
    <xf numFmtId="0" fontId="4" fillId="5" borderId="0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4" fillId="0" borderId="4" xfId="1" applyFont="1" applyBorder="1" applyAlignment="1"/>
    <xf numFmtId="2" fontId="5" fillId="4" borderId="4" xfId="1" applyNumberFormat="1" applyFont="1" applyFill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39" fontId="10" fillId="3" borderId="0" xfId="1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9" xfId="0" applyFont="1" applyFill="1" applyBorder="1"/>
    <xf numFmtId="0" fontId="4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18" xfId="0" applyFont="1" applyBorder="1" applyAlignment="1"/>
    <xf numFmtId="0" fontId="5" fillId="0" borderId="18" xfId="0" applyFont="1" applyBorder="1" applyAlignment="1"/>
    <xf numFmtId="39" fontId="5" fillId="4" borderId="4" xfId="1" applyNumberFormat="1" applyFont="1" applyFill="1" applyBorder="1" applyAlignment="1">
      <alignment horizontal="center"/>
    </xf>
    <xf numFmtId="0" fontId="4" fillId="0" borderId="0" xfId="0" applyFont="1"/>
    <xf numFmtId="165" fontId="12" fillId="0" borderId="0" xfId="1" applyNumberFormat="1" applyFont="1"/>
    <xf numFmtId="0" fontId="0" fillId="0" borderId="0" xfId="0" applyBorder="1"/>
    <xf numFmtId="2" fontId="5" fillId="4" borderId="4" xfId="0" applyNumberFormat="1" applyFont="1" applyFill="1" applyBorder="1" applyAlignment="1">
      <alignment horizontal="center"/>
    </xf>
    <xf numFmtId="0" fontId="4" fillId="4" borderId="4" xfId="0" applyFont="1" applyFill="1" applyBorder="1"/>
    <xf numFmtId="2" fontId="5" fillId="2" borderId="4" xfId="0" applyNumberFormat="1" applyFont="1" applyFill="1" applyBorder="1" applyAlignment="1">
      <alignment horizontal="center"/>
    </xf>
    <xf numFmtId="169" fontId="4" fillId="0" borderId="0" xfId="1" applyNumberFormat="1" applyFont="1"/>
    <xf numFmtId="2" fontId="5" fillId="3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6" fillId="0" borderId="0" xfId="0" applyFont="1"/>
    <xf numFmtId="1" fontId="5" fillId="2" borderId="4" xfId="1" applyNumberFormat="1" applyFont="1" applyFill="1" applyBorder="1" applyAlignment="1">
      <alignment horizontal="center"/>
    </xf>
    <xf numFmtId="165" fontId="4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168" fontId="23" fillId="0" borderId="0" xfId="1" applyNumberFormat="1" applyFont="1"/>
    <xf numFmtId="168" fontId="23" fillId="0" borderId="18" xfId="1" applyNumberFormat="1" applyFont="1" applyBorder="1" applyAlignment="1"/>
    <xf numFmtId="0" fontId="23" fillId="0" borderId="0" xfId="0" applyFont="1"/>
    <xf numFmtId="168" fontId="23" fillId="0" borderId="0" xfId="1" applyNumberFormat="1" applyFont="1" applyAlignment="1">
      <alignment horizontal="right"/>
    </xf>
    <xf numFmtId="0" fontId="12" fillId="0" borderId="0" xfId="0" applyFont="1"/>
    <xf numFmtId="168" fontId="23" fillId="3" borderId="0" xfId="1" applyNumberFormat="1" applyFont="1" applyFill="1"/>
    <xf numFmtId="165" fontId="4" fillId="0" borderId="0" xfId="0" applyNumberFormat="1" applyFont="1"/>
    <xf numFmtId="2" fontId="10" fillId="5" borderId="0" xfId="0" applyNumberFormat="1" applyFont="1" applyFill="1" applyBorder="1" applyAlignment="1">
      <alignment horizontal="center"/>
    </xf>
    <xf numFmtId="1" fontId="4" fillId="0" borderId="0" xfId="0" applyNumberFormat="1" applyFont="1"/>
    <xf numFmtId="168" fontId="23" fillId="5" borderId="0" xfId="1" applyNumberFormat="1" applyFont="1" applyFill="1"/>
    <xf numFmtId="165" fontId="4" fillId="0" borderId="10" xfId="1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4" borderId="0" xfId="0" quotePrefix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9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4" fillId="0" borderId="27" xfId="1" applyNumberFormat="1" applyFont="1" applyBorder="1" applyAlignment="1"/>
    <xf numFmtId="0" fontId="0" fillId="4" borderId="0" xfId="0" applyFill="1"/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13" fillId="2" borderId="0" xfId="0" applyFont="1" applyFill="1"/>
    <xf numFmtId="0" fontId="4" fillId="2" borderId="7" xfId="0" applyFont="1" applyFill="1" applyBorder="1"/>
    <xf numFmtId="165" fontId="4" fillId="4" borderId="9" xfId="0" applyNumberFormat="1" applyFont="1" applyFill="1" applyBorder="1" applyAlignment="1"/>
    <xf numFmtId="165" fontId="4" fillId="0" borderId="5" xfId="1" applyNumberFormat="1" applyFont="1" applyBorder="1" applyAlignment="1"/>
    <xf numFmtId="165" fontId="4" fillId="0" borderId="4" xfId="1" applyNumberFormat="1" applyFont="1" applyBorder="1" applyAlignment="1"/>
    <xf numFmtId="2" fontId="4" fillId="3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9" fontId="4" fillId="0" borderId="0" xfId="1" applyNumberFormat="1" applyFont="1" applyAlignment="1">
      <alignment horizontal="left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165" fontId="10" fillId="0" borderId="4" xfId="0" applyNumberFormat="1" applyFont="1" applyBorder="1" applyAlignment="1">
      <alignment horizontal="center"/>
    </xf>
    <xf numFmtId="0" fontId="18" fillId="4" borderId="0" xfId="0" applyFont="1" applyFill="1" applyBorder="1"/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22" fontId="0" fillId="0" borderId="0" xfId="0" applyNumberFormat="1"/>
    <xf numFmtId="165" fontId="0" fillId="0" borderId="0" xfId="1" applyFont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" fontId="4" fillId="0" borderId="0" xfId="0" applyNumberFormat="1" applyFont="1" applyAlignment="1">
      <alignment horizontal="left"/>
    </xf>
    <xf numFmtId="0" fontId="4" fillId="4" borderId="0" xfId="0" applyFont="1" applyFill="1"/>
    <xf numFmtId="2" fontId="4" fillId="4" borderId="0" xfId="0" applyNumberFormat="1" applyFont="1" applyFill="1" applyBorder="1" applyAlignment="1">
      <alignment horizontal="center"/>
    </xf>
    <xf numFmtId="165" fontId="4" fillId="4" borderId="31" xfId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2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65" fontId="4" fillId="4" borderId="31" xfId="1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3" fillId="0" borderId="0" xfId="0" applyFont="1"/>
    <xf numFmtId="173" fontId="10" fillId="0" borderId="4" xfId="2" applyNumberFormat="1" applyFont="1" applyBorder="1" applyAlignment="1">
      <alignment horizontal="center"/>
    </xf>
    <xf numFmtId="165" fontId="10" fillId="7" borderId="4" xfId="0" applyNumberFormat="1" applyFont="1" applyFill="1" applyBorder="1" applyAlignment="1">
      <alignment horizontal="center"/>
    </xf>
    <xf numFmtId="164" fontId="0" fillId="0" borderId="0" xfId="2" applyFont="1"/>
    <xf numFmtId="174" fontId="0" fillId="0" borderId="0" xfId="0" applyNumberFormat="1"/>
    <xf numFmtId="0" fontId="0" fillId="9" borderId="0" xfId="0" applyFill="1"/>
    <xf numFmtId="0" fontId="0" fillId="10" borderId="0" xfId="0" applyFill="1"/>
    <xf numFmtId="0" fontId="4" fillId="10" borderId="0" xfId="0" applyFont="1" applyFill="1"/>
    <xf numFmtId="0" fontId="4" fillId="10" borderId="0" xfId="0" applyFont="1" applyFill="1" applyBorder="1"/>
    <xf numFmtId="0" fontId="10" fillId="10" borderId="0" xfId="0" applyFont="1" applyFill="1" applyAlignment="1"/>
    <xf numFmtId="0" fontId="44" fillId="10" borderId="0" xfId="0" applyFont="1" applyFill="1" applyBorder="1" applyAlignment="1">
      <alignment horizontal="left"/>
    </xf>
    <xf numFmtId="0" fontId="0" fillId="10" borderId="0" xfId="0" applyFill="1" applyBorder="1"/>
    <xf numFmtId="0" fontId="13" fillId="10" borderId="0" xfId="0" applyFont="1" applyFill="1"/>
    <xf numFmtId="0" fontId="4" fillId="10" borderId="0" xfId="0" applyFont="1" applyFill="1" applyAlignment="1">
      <alignment horizontal="center"/>
    </xf>
    <xf numFmtId="0" fontId="0" fillId="10" borderId="22" xfId="0" applyFill="1" applyBorder="1"/>
    <xf numFmtId="0" fontId="0" fillId="10" borderId="21" xfId="0" applyFill="1" applyBorder="1"/>
    <xf numFmtId="0" fontId="32" fillId="10" borderId="0" xfId="0" applyFont="1" applyFill="1" applyBorder="1" applyAlignment="1">
      <alignment horizontal="center"/>
    </xf>
    <xf numFmtId="0" fontId="51" fillId="10" borderId="21" xfId="0" applyFont="1" applyFill="1" applyBorder="1" applyAlignment="1">
      <alignment horizontal="center"/>
    </xf>
    <xf numFmtId="0" fontId="44" fillId="10" borderId="0" xfId="0" applyFont="1" applyFill="1" applyBorder="1"/>
    <xf numFmtId="0" fontId="19" fillId="10" borderId="0" xfId="0" applyFont="1" applyFill="1"/>
    <xf numFmtId="0" fontId="51" fillId="10" borderId="21" xfId="0" applyFont="1" applyFill="1" applyBorder="1"/>
    <xf numFmtId="0" fontId="30" fillId="10" borderId="0" xfId="0" applyFont="1" applyFill="1" applyBorder="1"/>
    <xf numFmtId="0" fontId="4" fillId="10" borderId="0" xfId="0" applyFont="1" applyFill="1" applyAlignment="1">
      <alignment horizontal="right"/>
    </xf>
    <xf numFmtId="0" fontId="15" fillId="10" borderId="0" xfId="0" applyFont="1" applyFill="1"/>
    <xf numFmtId="0" fontId="43" fillId="10" borderId="0" xfId="0" applyFont="1" applyFill="1"/>
    <xf numFmtId="0" fontId="18" fillId="10" borderId="0" xfId="0" applyFont="1" applyFill="1"/>
    <xf numFmtId="0" fontId="4" fillId="10" borderId="0" xfId="0" applyFont="1" applyFill="1" applyBorder="1" applyAlignment="1"/>
    <xf numFmtId="0" fontId="19" fillId="10" borderId="22" xfId="0" applyFont="1" applyFill="1" applyBorder="1"/>
    <xf numFmtId="0" fontId="19" fillId="10" borderId="0" xfId="0" applyFont="1" applyFill="1" applyBorder="1" applyAlignment="1">
      <alignment horizontal="right"/>
    </xf>
    <xf numFmtId="0" fontId="5" fillId="10" borderId="21" xfId="0" applyFont="1" applyFill="1" applyBorder="1"/>
    <xf numFmtId="0" fontId="14" fillId="10" borderId="0" xfId="0" applyFont="1" applyFill="1" applyAlignment="1">
      <alignment textRotation="90"/>
    </xf>
    <xf numFmtId="0" fontId="15" fillId="10" borderId="0" xfId="0" applyFont="1" applyFill="1" applyBorder="1" applyAlignment="1"/>
    <xf numFmtId="0" fontId="60" fillId="10" borderId="0" xfId="0" applyFont="1" applyFill="1" applyBorder="1"/>
    <xf numFmtId="0" fontId="18" fillId="10" borderId="0" xfId="0" applyFont="1" applyFill="1" applyBorder="1" applyAlignment="1"/>
    <xf numFmtId="0" fontId="28" fillId="10" borderId="25" xfId="0" applyFont="1" applyFill="1" applyBorder="1"/>
    <xf numFmtId="0" fontId="28" fillId="10" borderId="23" xfId="0" applyFont="1" applyFill="1" applyBorder="1"/>
    <xf numFmtId="0" fontId="19" fillId="10" borderId="23" xfId="0" applyFont="1" applyFill="1" applyBorder="1" applyAlignment="1"/>
    <xf numFmtId="0" fontId="19" fillId="10" borderId="24" xfId="0" applyFont="1" applyFill="1" applyBorder="1" applyAlignment="1"/>
    <xf numFmtId="172" fontId="4" fillId="10" borderId="0" xfId="1" applyNumberFormat="1" applyFont="1" applyFill="1" applyBorder="1" applyAlignment="1">
      <alignment horizontal="center"/>
    </xf>
    <xf numFmtId="0" fontId="22" fillId="10" borderId="0" xfId="0" applyFont="1" applyFill="1" applyBorder="1" applyAlignment="1">
      <alignment textRotation="90"/>
    </xf>
    <xf numFmtId="0" fontId="15" fillId="10" borderId="0" xfId="0" applyFont="1" applyFill="1" applyBorder="1"/>
    <xf numFmtId="0" fontId="13" fillId="10" borderId="0" xfId="0" applyFont="1" applyFill="1" applyBorder="1" applyAlignment="1">
      <alignment horizontal="center"/>
    </xf>
    <xf numFmtId="0" fontId="13" fillId="10" borderId="0" xfId="0" applyFont="1" applyFill="1" applyBorder="1" applyAlignment="1">
      <alignment vertical="center" textRotation="90"/>
    </xf>
    <xf numFmtId="1" fontId="57" fillId="10" borderId="0" xfId="0" applyNumberFormat="1" applyFont="1" applyFill="1" applyBorder="1" applyAlignment="1">
      <alignment horizontal="center"/>
    </xf>
    <xf numFmtId="0" fontId="0" fillId="10" borderId="23" xfId="0" applyFill="1" applyBorder="1" applyAlignment="1"/>
    <xf numFmtId="0" fontId="10" fillId="10" borderId="0" xfId="0" applyFont="1" applyFill="1" applyBorder="1"/>
    <xf numFmtId="0" fontId="18" fillId="10" borderId="0" xfId="0" applyFont="1" applyFill="1" applyBorder="1"/>
    <xf numFmtId="0" fontId="19" fillId="10" borderId="0" xfId="0" applyFont="1" applyFill="1" applyBorder="1"/>
    <xf numFmtId="0" fontId="49" fillId="10" borderId="0" xfId="0" applyFont="1" applyFill="1" applyBorder="1"/>
    <xf numFmtId="0" fontId="4" fillId="10" borderId="0" xfId="0" applyFont="1" applyFill="1" applyBorder="1" applyAlignment="1">
      <alignment horizontal="center"/>
    </xf>
    <xf numFmtId="0" fontId="31" fillId="10" borderId="32" xfId="0" applyFont="1" applyFill="1" applyBorder="1" applyAlignment="1"/>
    <xf numFmtId="0" fontId="31" fillId="10" borderId="33" xfId="0" applyFont="1" applyFill="1" applyBorder="1" applyAlignment="1"/>
    <xf numFmtId="0" fontId="14" fillId="10" borderId="0" xfId="0" applyFont="1" applyFill="1" applyBorder="1"/>
    <xf numFmtId="0" fontId="33" fillId="10" borderId="0" xfId="0" applyFont="1" applyFill="1" applyBorder="1" applyAlignment="1">
      <alignment textRotation="90"/>
    </xf>
    <xf numFmtId="0" fontId="0" fillId="10" borderId="20" xfId="0" applyFill="1" applyBorder="1"/>
    <xf numFmtId="0" fontId="0" fillId="10" borderId="19" xfId="0" applyFill="1" applyBorder="1"/>
    <xf numFmtId="165" fontId="19" fillId="10" borderId="22" xfId="1" applyFont="1" applyFill="1" applyBorder="1" applyAlignment="1"/>
    <xf numFmtId="165" fontId="19" fillId="10" borderId="0" xfId="1" applyFont="1" applyFill="1" applyBorder="1" applyAlignment="1"/>
    <xf numFmtId="0" fontId="19" fillId="10" borderId="0" xfId="0" applyFont="1" applyFill="1" applyBorder="1" applyAlignment="1"/>
    <xf numFmtId="0" fontId="19" fillId="10" borderId="21" xfId="0" applyFont="1" applyFill="1" applyBorder="1" applyAlignment="1"/>
    <xf numFmtId="0" fontId="0" fillId="10" borderId="1" xfId="0" applyFill="1" applyBorder="1"/>
    <xf numFmtId="0" fontId="0" fillId="10" borderId="27" xfId="0" applyFill="1" applyBorder="1"/>
    <xf numFmtId="0" fontId="32" fillId="10" borderId="0" xfId="0" applyFont="1" applyFill="1" applyBorder="1"/>
    <xf numFmtId="0" fontId="24" fillId="10" borderId="0" xfId="0" applyFont="1" applyFill="1" applyBorder="1"/>
    <xf numFmtId="0" fontId="34" fillId="10" borderId="0" xfId="0" applyFont="1" applyFill="1" applyBorder="1" applyAlignment="1">
      <alignment horizontal="right" textRotation="90"/>
    </xf>
    <xf numFmtId="0" fontId="34" fillId="10" borderId="0" xfId="0" applyFont="1" applyFill="1" applyBorder="1" applyAlignment="1">
      <alignment vertical="center"/>
    </xf>
    <xf numFmtId="0" fontId="32" fillId="10" borderId="0" xfId="0" applyFont="1" applyFill="1" applyBorder="1" applyAlignment="1"/>
    <xf numFmtId="0" fontId="4" fillId="10" borderId="21" xfId="0" applyFont="1" applyFill="1" applyBorder="1" applyAlignment="1"/>
    <xf numFmtId="0" fontId="0" fillId="10" borderId="0" xfId="0" applyFill="1" applyBorder="1" applyAlignment="1">
      <alignment textRotation="90"/>
    </xf>
    <xf numFmtId="0" fontId="35" fillId="10" borderId="0" xfId="0" applyFont="1" applyFill="1" applyBorder="1" applyAlignment="1">
      <alignment horizontal="center" textRotation="90"/>
    </xf>
    <xf numFmtId="0" fontId="13" fillId="10" borderId="0" xfId="0" applyFont="1" applyFill="1" applyBorder="1" applyAlignment="1"/>
    <xf numFmtId="0" fontId="4" fillId="10" borderId="0" xfId="0" quotePrefix="1" applyFont="1" applyFill="1" applyBorder="1" applyAlignment="1"/>
    <xf numFmtId="1" fontId="17" fillId="10" borderId="0" xfId="0" applyNumberFormat="1" applyFont="1" applyFill="1" applyBorder="1" applyAlignment="1"/>
    <xf numFmtId="0" fontId="4" fillId="10" borderId="0" xfId="0" quotePrefix="1" applyFont="1" applyFill="1" applyBorder="1"/>
    <xf numFmtId="0" fontId="4" fillId="10" borderId="21" xfId="0" applyFont="1" applyFill="1" applyBorder="1"/>
    <xf numFmtId="0" fontId="26" fillId="10" borderId="0" xfId="0" applyFont="1" applyFill="1" applyBorder="1" applyAlignment="1"/>
    <xf numFmtId="1" fontId="18" fillId="10" borderId="0" xfId="0" applyNumberFormat="1" applyFont="1" applyFill="1" applyBorder="1" applyAlignment="1">
      <alignment horizontal="left"/>
    </xf>
    <xf numFmtId="0" fontId="15" fillId="10" borderId="0" xfId="0" quotePrefix="1" applyFont="1" applyFill="1" applyBorder="1"/>
    <xf numFmtId="0" fontId="22" fillId="10" borderId="0" xfId="0" applyFont="1" applyFill="1" applyBorder="1"/>
    <xf numFmtId="0" fontId="10" fillId="10" borderId="0" xfId="0" applyFont="1" applyFill="1" applyBorder="1" applyAlignment="1"/>
    <xf numFmtId="0" fontId="20" fillId="10" borderId="0" xfId="0" applyFont="1" applyFill="1" applyBorder="1" applyAlignment="1"/>
    <xf numFmtId="0" fontId="36" fillId="10" borderId="0" xfId="0" applyFont="1" applyFill="1" applyBorder="1" applyAlignment="1"/>
    <xf numFmtId="0" fontId="15" fillId="10" borderId="25" xfId="0" applyFont="1" applyFill="1" applyBorder="1"/>
    <xf numFmtId="0" fontId="15" fillId="10" borderId="23" xfId="0" applyFont="1" applyFill="1" applyBorder="1"/>
    <xf numFmtId="0" fontId="4" fillId="10" borderId="23" xfId="0" applyFont="1" applyFill="1" applyBorder="1"/>
    <xf numFmtId="0" fontId="4" fillId="10" borderId="24" xfId="0" applyFont="1" applyFill="1" applyBorder="1"/>
    <xf numFmtId="170" fontId="4" fillId="10" borderId="0" xfId="1" applyNumberFormat="1" applyFont="1" applyFill="1" applyBorder="1"/>
    <xf numFmtId="0" fontId="0" fillId="10" borderId="0" xfId="0" applyFill="1" applyAlignment="1"/>
    <xf numFmtId="0" fontId="10" fillId="10" borderId="0" xfId="0" applyFont="1" applyFill="1" applyAlignment="1">
      <alignment horizontal="right"/>
    </xf>
    <xf numFmtId="0" fontId="57" fillId="10" borderId="0" xfId="0" applyFont="1" applyFill="1" applyBorder="1"/>
    <xf numFmtId="0" fontId="17" fillId="10" borderId="0" xfId="0" applyFont="1" applyFill="1" applyBorder="1" applyAlignment="1">
      <alignment vertical="center" textRotation="90"/>
    </xf>
    <xf numFmtId="1" fontId="57" fillId="10" borderId="0" xfId="0" applyNumberFormat="1" applyFont="1" applyFill="1" applyBorder="1" applyAlignment="1"/>
    <xf numFmtId="1" fontId="4" fillId="10" borderId="0" xfId="0" applyNumberFormat="1" applyFont="1" applyFill="1" applyBorder="1" applyAlignment="1"/>
    <xf numFmtId="0" fontId="41" fillId="10" borderId="0" xfId="0" applyFont="1" applyFill="1" applyBorder="1" applyAlignment="1"/>
    <xf numFmtId="1" fontId="32" fillId="10" borderId="0" xfId="0" applyNumberFormat="1" applyFont="1" applyFill="1" applyBorder="1" applyAlignment="1"/>
    <xf numFmtId="1" fontId="57" fillId="10" borderId="0" xfId="0" applyNumberFormat="1" applyFont="1" applyFill="1" applyBorder="1" applyAlignment="1">
      <alignment horizontal="left"/>
    </xf>
    <xf numFmtId="0" fontId="20" fillId="10" borderId="0" xfId="0" applyFont="1" applyFill="1" applyBorder="1" applyAlignment="1">
      <alignment textRotation="90"/>
    </xf>
    <xf numFmtId="0" fontId="29" fillId="10" borderId="0" xfId="0" applyFont="1" applyFill="1" applyBorder="1" applyAlignment="1">
      <alignment horizontal="center" vertical="center" textRotation="180"/>
    </xf>
    <xf numFmtId="1" fontId="15" fillId="10" borderId="0" xfId="0" applyNumberFormat="1" applyFont="1" applyFill="1" applyBorder="1" applyAlignment="1"/>
    <xf numFmtId="0" fontId="14" fillId="10" borderId="0" xfId="0" quotePrefix="1" applyFont="1" applyFill="1" applyAlignment="1">
      <alignment textRotation="90"/>
    </xf>
    <xf numFmtId="0" fontId="57" fillId="10" borderId="0" xfId="0" applyFont="1" applyFill="1" applyBorder="1" applyAlignment="1">
      <alignment horizontal="left"/>
    </xf>
    <xf numFmtId="0" fontId="57" fillId="10" borderId="0" xfId="0" quotePrefix="1" applyFont="1" applyFill="1" applyBorder="1" applyAlignment="1">
      <alignment horizontal="right"/>
    </xf>
    <xf numFmtId="165" fontId="57" fillId="10" borderId="0" xfId="1" applyNumberFormat="1" applyFont="1" applyFill="1" applyBorder="1" applyAlignment="1">
      <alignment horizontal="right"/>
    </xf>
    <xf numFmtId="0" fontId="57" fillId="10" borderId="0" xfId="0" quotePrefix="1" applyFont="1" applyFill="1" applyBorder="1" applyAlignment="1">
      <alignment horizontal="center"/>
    </xf>
    <xf numFmtId="169" fontId="12" fillId="10" borderId="0" xfId="1" applyNumberFormat="1" applyFont="1" applyFill="1" applyBorder="1"/>
    <xf numFmtId="0" fontId="13" fillId="10" borderId="0" xfId="0" applyFont="1" applyFill="1" applyAlignment="1">
      <alignment textRotation="90"/>
    </xf>
    <xf numFmtId="166" fontId="4" fillId="10" borderId="0" xfId="0" applyNumberFormat="1" applyFont="1" applyFill="1" applyBorder="1" applyAlignment="1">
      <alignment horizontal="center"/>
    </xf>
    <xf numFmtId="9" fontId="4" fillId="8" borderId="26" xfId="3" applyFont="1" applyFill="1" applyBorder="1" applyAlignment="1">
      <alignment horizontal="center"/>
    </xf>
    <xf numFmtId="0" fontId="63" fillId="10" borderId="0" xfId="0" applyFont="1" applyFill="1" applyBorder="1"/>
    <xf numFmtId="0" fontId="4" fillId="8" borderId="26" xfId="0" applyFont="1" applyFill="1" applyBorder="1" applyAlignment="1">
      <alignment horizontal="center"/>
    </xf>
    <xf numFmtId="166" fontId="4" fillId="8" borderId="26" xfId="0" applyNumberFormat="1" applyFont="1" applyFill="1" applyBorder="1" applyAlignment="1">
      <alignment horizontal="center"/>
    </xf>
    <xf numFmtId="1" fontId="4" fillId="8" borderId="26" xfId="0" applyNumberFormat="1" applyFont="1" applyFill="1" applyBorder="1" applyAlignment="1">
      <alignment horizontal="center"/>
    </xf>
    <xf numFmtId="0" fontId="19" fillId="8" borderId="0" xfId="0" applyFont="1" applyFill="1" applyBorder="1"/>
    <xf numFmtId="0" fontId="4" fillId="8" borderId="0" xfId="0" applyFont="1" applyFill="1"/>
    <xf numFmtId="0" fontId="0" fillId="8" borderId="0" xfId="0" applyFill="1"/>
    <xf numFmtId="0" fontId="63" fillId="10" borderId="0" xfId="0" applyFont="1" applyFill="1" applyBorder="1" applyAlignment="1">
      <alignment horizontal="center"/>
    </xf>
    <xf numFmtId="169" fontId="65" fillId="10" borderId="0" xfId="1" applyNumberFormat="1" applyFont="1" applyFill="1" applyBorder="1" applyAlignment="1">
      <alignment horizontal="center"/>
    </xf>
    <xf numFmtId="0" fontId="65" fillId="10" borderId="0" xfId="0" applyFont="1" applyFill="1" applyBorder="1"/>
    <xf numFmtId="0" fontId="66" fillId="10" borderId="0" xfId="0" applyFont="1" applyFill="1" applyBorder="1" applyAlignment="1"/>
    <xf numFmtId="0" fontId="67" fillId="10" borderId="0" xfId="0" applyFont="1" applyFill="1"/>
    <xf numFmtId="0" fontId="10" fillId="8" borderId="0" xfId="0" applyFont="1" applyFill="1" applyAlignment="1"/>
    <xf numFmtId="0" fontId="4" fillId="8" borderId="0" xfId="0" applyFont="1" applyFill="1" applyBorder="1"/>
    <xf numFmtId="1" fontId="15" fillId="8" borderId="0" xfId="0" applyNumberFormat="1" applyFont="1" applyFill="1" applyBorder="1" applyAlignment="1"/>
    <xf numFmtId="0" fontId="19" fillId="8" borderId="0" xfId="0" applyFont="1" applyFill="1"/>
    <xf numFmtId="0" fontId="18" fillId="8" borderId="0" xfId="0" applyFont="1" applyFill="1"/>
    <xf numFmtId="0" fontId="20" fillId="8" borderId="0" xfId="0" applyFont="1" applyFill="1" applyBorder="1" applyAlignment="1">
      <alignment textRotation="90"/>
    </xf>
    <xf numFmtId="0" fontId="0" fillId="8" borderId="0" xfId="0" applyFill="1" applyAlignment="1"/>
    <xf numFmtId="0" fontId="13" fillId="8" borderId="0" xfId="0" applyFont="1" applyFill="1" applyAlignment="1">
      <alignment textRotation="90"/>
    </xf>
    <xf numFmtId="0" fontId="14" fillId="8" borderId="0" xfId="0" quotePrefix="1" applyFont="1" applyFill="1" applyAlignment="1">
      <alignment textRotation="90"/>
    </xf>
    <xf numFmtId="0" fontId="14" fillId="8" borderId="0" xfId="0" applyFont="1" applyFill="1" applyAlignment="1">
      <alignment textRotation="90"/>
    </xf>
    <xf numFmtId="0" fontId="4" fillId="8" borderId="0" xfId="0" applyFont="1" applyFill="1" applyAlignment="1">
      <alignment horizontal="right"/>
    </xf>
    <xf numFmtId="166" fontId="4" fillId="8" borderId="0" xfId="0" applyNumberFormat="1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57" fillId="8" borderId="0" xfId="0" applyFont="1" applyFill="1" applyBorder="1"/>
    <xf numFmtId="0" fontId="57" fillId="8" borderId="0" xfId="0" applyFont="1" applyFill="1" applyBorder="1" applyAlignment="1">
      <alignment horizontal="left"/>
    </xf>
    <xf numFmtId="0" fontId="57" fillId="8" borderId="0" xfId="0" quotePrefix="1" applyFont="1" applyFill="1" applyBorder="1" applyAlignment="1">
      <alignment horizontal="center"/>
    </xf>
    <xf numFmtId="165" fontId="57" fillId="8" borderId="0" xfId="1" applyNumberFormat="1" applyFont="1" applyFill="1" applyBorder="1" applyAlignment="1">
      <alignment horizontal="right"/>
    </xf>
    <xf numFmtId="169" fontId="12" fillId="8" borderId="0" xfId="1" applyNumberFormat="1" applyFont="1" applyFill="1" applyBorder="1"/>
    <xf numFmtId="0" fontId="0" fillId="8" borderId="0" xfId="0" applyFill="1" applyBorder="1"/>
    <xf numFmtId="0" fontId="19" fillId="8" borderId="0" xfId="0" applyFont="1" applyFill="1" applyBorder="1" applyAlignment="1">
      <alignment horizontal="right"/>
    </xf>
    <xf numFmtId="0" fontId="19" fillId="8" borderId="0" xfId="0" quotePrefix="1" applyFont="1" applyFill="1" applyBorder="1" applyAlignment="1">
      <alignment horizontal="right"/>
    </xf>
    <xf numFmtId="165" fontId="19" fillId="8" borderId="0" xfId="1" applyNumberFormat="1" applyFont="1" applyFill="1" applyBorder="1" applyAlignment="1">
      <alignment horizontal="right"/>
    </xf>
    <xf numFmtId="169" fontId="12" fillId="8" borderId="0" xfId="1" applyNumberFormat="1" applyFont="1" applyFill="1"/>
    <xf numFmtId="165" fontId="4" fillId="8" borderId="0" xfId="1" applyFont="1" applyFill="1"/>
    <xf numFmtId="22" fontId="48" fillId="8" borderId="0" xfId="0" applyNumberFormat="1" applyFont="1" applyFill="1" applyAlignment="1"/>
    <xf numFmtId="22" fontId="4" fillId="8" borderId="0" xfId="0" applyNumberFormat="1" applyFont="1" applyFill="1" applyAlignment="1"/>
    <xf numFmtId="168" fontId="4" fillId="8" borderId="0" xfId="1" applyNumberFormat="1" applyFont="1" applyFill="1"/>
    <xf numFmtId="22" fontId="52" fillId="8" borderId="0" xfId="0" applyNumberFormat="1" applyFont="1" applyFill="1" applyAlignment="1"/>
    <xf numFmtId="0" fontId="19" fillId="8" borderId="0" xfId="0" applyFont="1" applyFill="1" applyAlignment="1">
      <alignment horizontal="left"/>
    </xf>
    <xf numFmtId="0" fontId="3" fillId="8" borderId="0" xfId="0" applyFont="1" applyFill="1"/>
    <xf numFmtId="0" fontId="20" fillId="8" borderId="0" xfId="0" applyFont="1" applyFill="1" applyAlignment="1">
      <alignment horizontal="left"/>
    </xf>
    <xf numFmtId="22" fontId="4" fillId="8" borderId="0" xfId="0" applyNumberFormat="1" applyFont="1" applyFill="1"/>
    <xf numFmtId="0" fontId="17" fillId="8" borderId="0" xfId="0" applyFont="1" applyFill="1"/>
    <xf numFmtId="0" fontId="58" fillId="8" borderId="0" xfId="0" applyFont="1" applyFill="1"/>
    <xf numFmtId="0" fontId="58" fillId="8" borderId="0" xfId="0" quotePrefix="1" applyFont="1" applyFill="1"/>
    <xf numFmtId="0" fontId="17" fillId="8" borderId="0" xfId="0" applyFont="1" applyFill="1" applyBorder="1"/>
    <xf numFmtId="0" fontId="4" fillId="0" borderId="26" xfId="0" applyFont="1" applyFill="1" applyBorder="1" applyAlignment="1">
      <alignment horizontal="center"/>
    </xf>
    <xf numFmtId="172" fontId="4" fillId="8" borderId="26" xfId="1" applyNumberFormat="1" applyFont="1" applyFill="1" applyBorder="1" applyAlignment="1">
      <alignment horizontal="center"/>
    </xf>
    <xf numFmtId="171" fontId="4" fillId="8" borderId="26" xfId="0" applyNumberFormat="1" applyFont="1" applyFill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0" fontId="64" fillId="10" borderId="0" xfId="0" applyFont="1" applyFill="1" applyBorder="1"/>
    <xf numFmtId="0" fontId="64" fillId="10" borderId="0" xfId="0" quotePrefix="1" applyFont="1" applyFill="1" applyBorder="1" applyAlignment="1">
      <alignment textRotation="90"/>
    </xf>
    <xf numFmtId="0" fontId="65" fillId="10" borderId="0" xfId="0" applyFont="1" applyFill="1" applyBorder="1" applyAlignment="1">
      <alignment textRotation="90"/>
    </xf>
    <xf numFmtId="0" fontId="65" fillId="10" borderId="0" xfId="0" applyFont="1" applyFill="1" applyBorder="1" applyAlignment="1"/>
    <xf numFmtId="0" fontId="70" fillId="10" borderId="0" xfId="0" applyFont="1" applyFill="1" applyBorder="1" applyAlignment="1">
      <alignment textRotation="90"/>
    </xf>
    <xf numFmtId="0" fontId="65" fillId="10" borderId="0" xfId="0" quotePrefix="1" applyFont="1" applyFill="1" applyBorder="1" applyAlignment="1">
      <alignment textRotation="90"/>
    </xf>
    <xf numFmtId="0" fontId="66" fillId="10" borderId="0" xfId="0" applyFont="1" applyFill="1" applyBorder="1"/>
    <xf numFmtId="0" fontId="0" fillId="11" borderId="0" xfId="0" applyFill="1"/>
    <xf numFmtId="0" fontId="10" fillId="11" borderId="0" xfId="0" applyFont="1" applyFill="1" applyAlignment="1"/>
    <xf numFmtId="0" fontId="4" fillId="11" borderId="0" xfId="0" applyFont="1" applyFill="1"/>
    <xf numFmtId="0" fontId="71" fillId="10" borderId="0" xfId="0" applyFont="1" applyFill="1" applyBorder="1" applyAlignment="1"/>
    <xf numFmtId="169" fontId="64" fillId="10" borderId="0" xfId="1" applyNumberFormat="1" applyFont="1" applyFill="1" applyBorder="1" applyAlignment="1">
      <alignment horizontal="left"/>
    </xf>
    <xf numFmtId="166" fontId="15" fillId="8" borderId="26" xfId="2" applyNumberFormat="1" applyFont="1" applyFill="1" applyBorder="1" applyAlignment="1">
      <alignment horizontal="center"/>
    </xf>
    <xf numFmtId="0" fontId="1" fillId="8" borderId="0" xfId="0" applyFont="1" applyFill="1"/>
    <xf numFmtId="0" fontId="0" fillId="8" borderId="0" xfId="0" quotePrefix="1" applyFill="1"/>
    <xf numFmtId="0" fontId="0" fillId="7" borderId="0" xfId="0" applyFill="1"/>
    <xf numFmtId="0" fontId="5" fillId="10" borderId="0" xfId="0" applyFont="1" applyFill="1" applyBorder="1"/>
    <xf numFmtId="0" fontId="0" fillId="10" borderId="35" xfId="0" applyFill="1" applyBorder="1"/>
    <xf numFmtId="0" fontId="0" fillId="10" borderId="36" xfId="0" applyFill="1" applyBorder="1"/>
    <xf numFmtId="0" fontId="4" fillId="10" borderId="0" xfId="0" applyFont="1" applyFill="1" applyBorder="1" applyAlignment="1">
      <alignment horizontal="right"/>
    </xf>
    <xf numFmtId="166" fontId="64" fillId="10" borderId="0" xfId="0" applyNumberFormat="1" applyFont="1" applyFill="1" applyBorder="1" applyAlignment="1"/>
    <xf numFmtId="0" fontId="44" fillId="10" borderId="0" xfId="0" applyFont="1" applyFill="1" applyBorder="1" applyAlignment="1" applyProtection="1">
      <alignment horizontal="left"/>
      <protection hidden="1"/>
    </xf>
    <xf numFmtId="166" fontId="32" fillId="10" borderId="0" xfId="0" applyNumberFormat="1" applyFont="1" applyFill="1" applyBorder="1" applyAlignment="1" applyProtection="1">
      <alignment horizontal="right"/>
      <protection hidden="1"/>
    </xf>
    <xf numFmtId="0" fontId="4" fillId="10" borderId="0" xfId="0" applyFont="1" applyFill="1" applyProtection="1">
      <protection hidden="1"/>
    </xf>
    <xf numFmtId="2" fontId="28" fillId="10" borderId="0" xfId="0" applyNumberFormat="1" applyFont="1" applyFill="1" applyBorder="1" applyAlignment="1" applyProtection="1">
      <alignment horizontal="center"/>
      <protection hidden="1"/>
    </xf>
    <xf numFmtId="166" fontId="28" fillId="10" borderId="35" xfId="0" applyNumberFormat="1" applyFont="1" applyFill="1" applyBorder="1" applyAlignment="1" applyProtection="1">
      <alignment horizontal="right"/>
      <protection hidden="1"/>
    </xf>
    <xf numFmtId="0" fontId="55" fillId="10" borderId="36" xfId="0" applyFont="1" applyFill="1" applyBorder="1" applyAlignment="1" applyProtection="1">
      <alignment horizontal="right"/>
      <protection hidden="1"/>
    </xf>
    <xf numFmtId="0" fontId="55" fillId="10" borderId="36" xfId="0" applyFont="1" applyFill="1" applyBorder="1" applyAlignment="1" applyProtection="1">
      <alignment horizontal="center"/>
      <protection hidden="1"/>
    </xf>
    <xf numFmtId="166" fontId="63" fillId="10" borderId="44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1" fontId="0" fillId="8" borderId="0" xfId="0" applyNumberFormat="1" applyFill="1" applyAlignment="1" applyProtection="1">
      <alignment horizontal="left"/>
      <protection hidden="1"/>
    </xf>
    <xf numFmtId="175" fontId="0" fillId="7" borderId="0" xfId="2" applyNumberFormat="1" applyFont="1" applyFill="1" applyProtection="1">
      <protection hidden="1"/>
    </xf>
    <xf numFmtId="176" fontId="0" fillId="8" borderId="0" xfId="0" applyNumberFormat="1" applyFill="1" applyProtection="1">
      <protection hidden="1"/>
    </xf>
    <xf numFmtId="0" fontId="63" fillId="10" borderId="0" xfId="0" applyFont="1" applyFill="1" applyBorder="1" applyAlignment="1" applyProtection="1">
      <alignment horizontal="center"/>
      <protection hidden="1"/>
    </xf>
    <xf numFmtId="0" fontId="15" fillId="10" borderId="0" xfId="0" applyFont="1" applyFill="1" applyBorder="1" applyAlignment="1" applyProtection="1">
      <alignment horizontal="center"/>
      <protection hidden="1"/>
    </xf>
    <xf numFmtId="166" fontId="15" fillId="10" borderId="0" xfId="0" applyNumberFormat="1" applyFont="1" applyFill="1" applyBorder="1" applyAlignment="1" applyProtection="1">
      <alignment horizontal="right"/>
      <protection hidden="1"/>
    </xf>
    <xf numFmtId="0" fontId="6" fillId="10" borderId="21" xfId="0" applyFont="1" applyFill="1" applyBorder="1" applyAlignment="1" applyProtection="1">
      <alignment horizontal="right"/>
      <protection hidden="1"/>
    </xf>
    <xf numFmtId="2" fontId="15" fillId="10" borderId="0" xfId="0" applyNumberFormat="1" applyFont="1" applyFill="1" applyBorder="1" applyAlignment="1" applyProtection="1">
      <alignment horizontal="left"/>
      <protection hidden="1"/>
    </xf>
    <xf numFmtId="2" fontId="6" fillId="10" borderId="21" xfId="0" applyNumberFormat="1" applyFont="1" applyFill="1" applyBorder="1" applyAlignment="1" applyProtection="1">
      <alignment horizontal="right"/>
      <protection hidden="1"/>
    </xf>
    <xf numFmtId="0" fontId="15" fillId="10" borderId="22" xfId="0" applyFont="1" applyFill="1" applyBorder="1" applyAlignment="1" applyProtection="1">
      <protection hidden="1"/>
    </xf>
    <xf numFmtId="0" fontId="60" fillId="10" borderId="0" xfId="0" applyFont="1" applyFill="1" applyBorder="1" applyProtection="1">
      <protection hidden="1"/>
    </xf>
    <xf numFmtId="0" fontId="22" fillId="10" borderId="0" xfId="0" applyFont="1" applyFill="1" applyBorder="1" applyAlignment="1" applyProtection="1">
      <alignment textRotation="90"/>
      <protection hidden="1"/>
    </xf>
    <xf numFmtId="2" fontId="52" fillId="10" borderId="23" xfId="0" applyNumberFormat="1" applyFont="1" applyFill="1" applyBorder="1" applyAlignment="1" applyProtection="1">
      <alignment horizontal="center"/>
      <protection hidden="1"/>
    </xf>
    <xf numFmtId="2" fontId="52" fillId="10" borderId="23" xfId="0" applyNumberFormat="1" applyFont="1" applyFill="1" applyBorder="1" applyAlignment="1" applyProtection="1">
      <alignment horizontal="left"/>
      <protection hidden="1"/>
    </xf>
    <xf numFmtId="0" fontId="15" fillId="10" borderId="0" xfId="0" applyFont="1" applyFill="1" applyBorder="1" applyProtection="1">
      <protection hidden="1"/>
    </xf>
    <xf numFmtId="1" fontId="63" fillId="10" borderId="0" xfId="0" applyNumberFormat="1" applyFont="1" applyFill="1" applyBorder="1" applyAlignment="1" applyProtection="1">
      <alignment horizontal="center"/>
      <protection hidden="1"/>
    </xf>
    <xf numFmtId="0" fontId="52" fillId="10" borderId="23" xfId="0" applyFont="1" applyFill="1" applyBorder="1" applyAlignment="1" applyProtection="1">
      <alignment horizontal="left"/>
      <protection hidden="1"/>
    </xf>
    <xf numFmtId="0" fontId="52" fillId="10" borderId="34" xfId="0" applyFont="1" applyFill="1" applyBorder="1" applyAlignment="1" applyProtection="1">
      <alignment horizontal="left"/>
      <protection hidden="1"/>
    </xf>
    <xf numFmtId="2" fontId="52" fillId="10" borderId="32" xfId="0" applyNumberFormat="1" applyFont="1" applyFill="1" applyBorder="1" applyAlignment="1" applyProtection="1">
      <alignment horizontal="center"/>
      <protection hidden="1"/>
    </xf>
    <xf numFmtId="0" fontId="32" fillId="10" borderId="0" xfId="0" applyFont="1" applyFill="1" applyBorder="1" applyProtection="1">
      <protection hidden="1"/>
    </xf>
    <xf numFmtId="171" fontId="63" fillId="10" borderId="0" xfId="1" applyNumberFormat="1" applyFont="1" applyFill="1" applyBorder="1" applyAlignment="1" applyProtection="1">
      <alignment horizontal="center"/>
      <protection hidden="1"/>
    </xf>
    <xf numFmtId="0" fontId="4" fillId="10" borderId="22" xfId="0" applyFont="1" applyFill="1" applyBorder="1" applyAlignment="1" applyProtection="1">
      <protection hidden="1"/>
    </xf>
    <xf numFmtId="2" fontId="15" fillId="10" borderId="0" xfId="0" applyNumberFormat="1" applyFont="1" applyFill="1" applyBorder="1" applyAlignment="1" applyProtection="1">
      <alignment horizontal="center"/>
      <protection hidden="1"/>
    </xf>
    <xf numFmtId="0" fontId="4" fillId="10" borderId="21" xfId="0" applyFont="1" applyFill="1" applyBorder="1" applyAlignment="1" applyProtection="1">
      <alignment horizontal="left"/>
      <protection hidden="1"/>
    </xf>
    <xf numFmtId="0" fontId="4" fillId="10" borderId="22" xfId="0" quotePrefix="1" applyFont="1" applyFill="1" applyBorder="1" applyProtection="1">
      <protection hidden="1"/>
    </xf>
    <xf numFmtId="0" fontId="15" fillId="10" borderId="22" xfId="0" quotePrefix="1" applyFont="1" applyFill="1" applyBorder="1" applyProtection="1">
      <protection hidden="1"/>
    </xf>
    <xf numFmtId="0" fontId="4" fillId="10" borderId="0" xfId="0" applyFont="1" applyFill="1" applyBorder="1" applyProtection="1">
      <protection hidden="1"/>
    </xf>
    <xf numFmtId="0" fontId="47" fillId="10" borderId="0" xfId="0" applyFont="1" applyFill="1" applyBorder="1" applyAlignment="1" applyProtection="1">
      <protection hidden="1"/>
    </xf>
    <xf numFmtId="0" fontId="20" fillId="10" borderId="0" xfId="0" applyFont="1" applyFill="1" applyBorder="1" applyAlignment="1" applyProtection="1">
      <protection hidden="1"/>
    </xf>
    <xf numFmtId="1" fontId="57" fillId="10" borderId="0" xfId="0" applyNumberFormat="1" applyFont="1" applyFill="1" applyBorder="1" applyAlignment="1" applyProtection="1">
      <protection hidden="1"/>
    </xf>
    <xf numFmtId="1" fontId="59" fillId="10" borderId="0" xfId="0" applyNumberFormat="1" applyFont="1" applyFill="1" applyBorder="1" applyAlignment="1" applyProtection="1">
      <protection hidden="1"/>
    </xf>
    <xf numFmtId="169" fontId="12" fillId="10" borderId="0" xfId="1" applyNumberFormat="1" applyFont="1" applyFill="1" applyBorder="1" applyProtection="1">
      <protection hidden="1"/>
    </xf>
    <xf numFmtId="171" fontId="57" fillId="10" borderId="0" xfId="1" applyNumberFormat="1" applyFont="1" applyFill="1" applyBorder="1" applyAlignment="1" applyProtection="1">
      <protection hidden="1"/>
    </xf>
    <xf numFmtId="171" fontId="57" fillId="10" borderId="0" xfId="1" applyNumberFormat="1" applyFont="1" applyFill="1" applyBorder="1" applyProtection="1">
      <protection hidden="1"/>
    </xf>
    <xf numFmtId="171" fontId="57" fillId="10" borderId="0" xfId="1" applyNumberFormat="1" applyFont="1" applyFill="1" applyBorder="1" applyAlignment="1" applyProtection="1">
      <alignment horizontal="right"/>
      <protection hidden="1"/>
    </xf>
    <xf numFmtId="165" fontId="57" fillId="10" borderId="0" xfId="1" applyNumberFormat="1" applyFont="1" applyFill="1" applyBorder="1" applyAlignment="1" applyProtection="1">
      <alignment horizontal="right"/>
      <protection hidden="1"/>
    </xf>
    <xf numFmtId="2" fontId="66" fillId="10" borderId="0" xfId="0" applyNumberFormat="1" applyFont="1" applyFill="1" applyBorder="1" applyProtection="1">
      <protection hidden="1"/>
    </xf>
    <xf numFmtId="0" fontId="64" fillId="10" borderId="0" xfId="0" applyFont="1" applyFill="1" applyBorder="1" applyProtection="1">
      <protection hidden="1"/>
    </xf>
    <xf numFmtId="2" fontId="4" fillId="10" borderId="0" xfId="0" applyNumberFormat="1" applyFont="1" applyFill="1" applyBorder="1" applyProtection="1">
      <protection hidden="1"/>
    </xf>
    <xf numFmtId="0" fontId="5" fillId="10" borderId="0" xfId="0" applyFont="1" applyFill="1" applyBorder="1" applyProtection="1">
      <protection hidden="1"/>
    </xf>
    <xf numFmtId="2" fontId="64" fillId="10" borderId="0" xfId="0" applyNumberFormat="1" applyFont="1" applyFill="1" applyBorder="1" applyProtection="1">
      <protection hidden="1"/>
    </xf>
    <xf numFmtId="0" fontId="1" fillId="10" borderId="0" xfId="0" applyFont="1" applyFill="1" applyBorder="1"/>
    <xf numFmtId="1" fontId="66" fillId="10" borderId="0" xfId="0" applyNumberFormat="1" applyFont="1" applyFill="1" applyBorder="1" applyAlignment="1" applyProtection="1">
      <alignment horizontal="left"/>
      <protection hidden="1"/>
    </xf>
    <xf numFmtId="1" fontId="66" fillId="10" borderId="0" xfId="0" applyNumberFormat="1" applyFont="1" applyFill="1" applyBorder="1" applyAlignment="1" applyProtection="1">
      <alignment horizontal="right"/>
      <protection hidden="1"/>
    </xf>
    <xf numFmtId="0" fontId="66" fillId="10" borderId="0" xfId="0" applyFont="1" applyFill="1" applyBorder="1" applyAlignment="1" applyProtection="1">
      <protection hidden="1"/>
    </xf>
    <xf numFmtId="0" fontId="66" fillId="10" borderId="0" xfId="0" applyFont="1" applyFill="1" applyBorder="1" applyAlignment="1" applyProtection="1">
      <alignment horizontal="right"/>
      <protection hidden="1"/>
    </xf>
    <xf numFmtId="0" fontId="74" fillId="10" borderId="0" xfId="0" applyFont="1" applyFill="1" applyBorder="1" applyProtection="1">
      <protection hidden="1"/>
    </xf>
    <xf numFmtId="0" fontId="4" fillId="0" borderId="1" xfId="0" applyFont="1" applyBorder="1" applyAlignment="1"/>
    <xf numFmtId="0" fontId="4" fillId="0" borderId="12" xfId="0" applyFont="1" applyBorder="1" applyAlignment="1"/>
    <xf numFmtId="0" fontId="4" fillId="7" borderId="0" xfId="0" applyFont="1" applyFill="1"/>
    <xf numFmtId="0" fontId="13" fillId="10" borderId="0" xfId="0" applyFont="1" applyFill="1" applyBorder="1"/>
    <xf numFmtId="0" fontId="0" fillId="10" borderId="0" xfId="0" quotePrefix="1" applyFill="1" applyBorder="1"/>
    <xf numFmtId="0" fontId="68" fillId="10" borderId="0" xfId="0" applyFont="1" applyFill="1" applyBorder="1" applyAlignment="1"/>
    <xf numFmtId="0" fontId="67" fillId="10" borderId="0" xfId="0" applyFont="1" applyFill="1" applyBorder="1"/>
    <xf numFmtId="0" fontId="66" fillId="10" borderId="0" xfId="0" applyFont="1" applyFill="1" applyBorder="1" applyAlignment="1">
      <alignment horizontal="center"/>
    </xf>
    <xf numFmtId="0" fontId="3" fillId="10" borderId="0" xfId="0" applyFont="1" applyFill="1" applyBorder="1"/>
    <xf numFmtId="22" fontId="4" fillId="10" borderId="0" xfId="0" applyNumberFormat="1" applyFont="1" applyFill="1" applyBorder="1" applyAlignment="1">
      <alignment horizontal="left"/>
    </xf>
    <xf numFmtId="14" fontId="4" fillId="10" borderId="0" xfId="0" applyNumberFormat="1" applyFont="1" applyFill="1" applyBorder="1"/>
    <xf numFmtId="22" fontId="4" fillId="10" borderId="0" xfId="0" applyNumberFormat="1" applyFont="1" applyFill="1" applyBorder="1"/>
    <xf numFmtId="0" fontId="43" fillId="10" borderId="0" xfId="0" applyFont="1" applyFill="1" applyBorder="1"/>
    <xf numFmtId="14" fontId="63" fillId="10" borderId="0" xfId="0" applyNumberFormat="1" applyFont="1" applyFill="1" applyBorder="1" applyAlignment="1">
      <alignment horizontal="left"/>
    </xf>
    <xf numFmtId="0" fontId="9" fillId="10" borderId="0" xfId="0" applyFont="1" applyFill="1" applyBorder="1"/>
    <xf numFmtId="0" fontId="14" fillId="10" borderId="0" xfId="0" applyFont="1" applyFill="1" applyBorder="1" applyAlignment="1">
      <alignment textRotation="90"/>
    </xf>
    <xf numFmtId="0" fontId="40" fillId="10" borderId="0" xfId="0" applyFont="1" applyFill="1" applyBorder="1" applyAlignment="1"/>
    <xf numFmtId="0" fontId="74" fillId="10" borderId="0" xfId="0" applyFont="1" applyFill="1" applyBorder="1" applyAlignment="1" applyProtection="1">
      <protection hidden="1"/>
    </xf>
    <xf numFmtId="0" fontId="21" fillId="10" borderId="0" xfId="0" quotePrefix="1" applyFont="1" applyFill="1" applyBorder="1" applyAlignment="1" applyProtection="1">
      <alignment horizontal="center" textRotation="90"/>
      <protection hidden="1"/>
    </xf>
    <xf numFmtId="0" fontId="58" fillId="10" borderId="0" xfId="0" applyFont="1" applyFill="1" applyBorder="1" applyAlignment="1"/>
    <xf numFmtId="0" fontId="21" fillId="10" borderId="0" xfId="0" quotePrefix="1" applyFont="1" applyFill="1" applyBorder="1" applyAlignment="1">
      <alignment textRotation="90"/>
    </xf>
    <xf numFmtId="0" fontId="58" fillId="10" borderId="0" xfId="0" applyFont="1" applyFill="1" applyBorder="1" applyAlignment="1">
      <alignment horizontal="center"/>
    </xf>
    <xf numFmtId="0" fontId="48" fillId="10" borderId="0" xfId="0" applyFont="1" applyFill="1" applyBorder="1"/>
    <xf numFmtId="0" fontId="15" fillId="10" borderId="0" xfId="0" applyFont="1" applyFill="1" applyBorder="1" applyAlignment="1">
      <alignment horizontal="right"/>
    </xf>
    <xf numFmtId="0" fontId="47" fillId="10" borderId="0" xfId="0" applyFont="1" applyFill="1" applyBorder="1"/>
    <xf numFmtId="0" fontId="32" fillId="10" borderId="0" xfId="0" applyFont="1" applyFill="1" applyBorder="1" applyAlignment="1">
      <alignment horizontal="right"/>
    </xf>
    <xf numFmtId="0" fontId="47" fillId="10" borderId="0" xfId="0" applyFont="1" applyFill="1" applyBorder="1" applyAlignment="1">
      <alignment horizontal="center"/>
    </xf>
    <xf numFmtId="0" fontId="25" fillId="10" borderId="0" xfId="0" applyFont="1" applyFill="1" applyBorder="1"/>
    <xf numFmtId="0" fontId="21" fillId="10" borderId="0" xfId="0" applyFont="1" applyFill="1" applyBorder="1"/>
    <xf numFmtId="0" fontId="24" fillId="10" borderId="0" xfId="0" applyFont="1" applyFill="1" applyBorder="1" applyAlignment="1"/>
    <xf numFmtId="0" fontId="10" fillId="10" borderId="0" xfId="0" applyFont="1" applyFill="1" applyBorder="1" applyAlignment="1">
      <alignment horizontal="right"/>
    </xf>
    <xf numFmtId="0" fontId="2" fillId="10" borderId="0" xfId="0" applyFont="1" applyFill="1" applyBorder="1"/>
    <xf numFmtId="169" fontId="4" fillId="10" borderId="0" xfId="1" applyNumberFormat="1" applyFont="1" applyFill="1" applyBorder="1"/>
    <xf numFmtId="0" fontId="18" fillId="10" borderId="0" xfId="0" quotePrefix="1" applyFont="1" applyFill="1" applyBorder="1" applyAlignment="1" applyProtection="1">
      <protection hidden="1"/>
    </xf>
    <xf numFmtId="0" fontId="21" fillId="10" borderId="0" xfId="0" quotePrefix="1" applyFont="1" applyFill="1" applyBorder="1" applyAlignment="1" applyProtection="1">
      <alignment textRotation="90"/>
      <protection hidden="1"/>
    </xf>
    <xf numFmtId="0" fontId="17" fillId="10" borderId="0" xfId="0" applyFont="1" applyFill="1" applyBorder="1" applyAlignment="1" applyProtection="1">
      <protection hidden="1"/>
    </xf>
    <xf numFmtId="0" fontId="14" fillId="10" borderId="0" xfId="0" quotePrefix="1" applyFont="1" applyFill="1" applyBorder="1" applyAlignment="1">
      <alignment textRotation="90"/>
    </xf>
    <xf numFmtId="166" fontId="75" fillId="10" borderId="0" xfId="0" applyNumberFormat="1" applyFont="1" applyFill="1" applyBorder="1" applyAlignment="1" applyProtection="1">
      <protection hidden="1"/>
    </xf>
    <xf numFmtId="0" fontId="0" fillId="10" borderId="25" xfId="0" applyFill="1" applyBorder="1"/>
    <xf numFmtId="0" fontId="66" fillId="10" borderId="23" xfId="0" applyFont="1" applyFill="1" applyBorder="1"/>
    <xf numFmtId="0" fontId="0" fillId="10" borderId="23" xfId="0" applyFill="1" applyBorder="1"/>
    <xf numFmtId="0" fontId="65" fillId="10" borderId="23" xfId="0" applyFont="1" applyFill="1" applyBorder="1"/>
    <xf numFmtId="0" fontId="64" fillId="10" borderId="23" xfId="0" applyFont="1" applyFill="1" applyBorder="1" applyProtection="1">
      <protection hidden="1"/>
    </xf>
    <xf numFmtId="0" fontId="64" fillId="10" borderId="23" xfId="0" applyFont="1" applyFill="1" applyBorder="1"/>
    <xf numFmtId="0" fontId="64" fillId="10" borderId="23" xfId="0" quotePrefix="1" applyFont="1" applyFill="1" applyBorder="1" applyAlignment="1">
      <alignment textRotation="90"/>
    </xf>
    <xf numFmtId="0" fontId="65" fillId="10" borderId="23" xfId="0" applyFont="1" applyFill="1" applyBorder="1" applyAlignment="1">
      <alignment textRotation="90"/>
    </xf>
    <xf numFmtId="0" fontId="4" fillId="10" borderId="23" xfId="0" applyFont="1" applyFill="1" applyBorder="1" applyAlignment="1">
      <alignment horizontal="right"/>
    </xf>
    <xf numFmtId="166" fontId="4" fillId="10" borderId="23" xfId="0" applyNumberFormat="1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20" fillId="10" borderId="0" xfId="0" quotePrefix="1" applyFont="1" applyFill="1" applyBorder="1" applyAlignment="1" applyProtection="1">
      <alignment horizontal="center" textRotation="90"/>
      <protection hidden="1"/>
    </xf>
    <xf numFmtId="0" fontId="0" fillId="13" borderId="0" xfId="0" applyFill="1" applyBorder="1"/>
    <xf numFmtId="0" fontId="5" fillId="13" borderId="0" xfId="0" applyFont="1" applyFill="1" applyBorder="1"/>
    <xf numFmtId="0" fontId="1" fillId="13" borderId="0" xfId="0" applyFont="1" applyFill="1" applyBorder="1"/>
    <xf numFmtId="0" fontId="4" fillId="13" borderId="0" xfId="0" applyFont="1" applyFill="1" applyBorder="1"/>
    <xf numFmtId="0" fontId="5" fillId="13" borderId="0" xfId="0" applyFont="1" applyFill="1" applyBorder="1" applyAlignment="1"/>
    <xf numFmtId="0" fontId="10" fillId="13" borderId="0" xfId="0" applyFont="1" applyFill="1" applyBorder="1" applyAlignment="1"/>
    <xf numFmtId="166" fontId="10" fillId="10" borderId="0" xfId="0" applyNumberFormat="1" applyFont="1" applyFill="1" applyBorder="1" applyProtection="1">
      <protection hidden="1"/>
    </xf>
    <xf numFmtId="166" fontId="63" fillId="10" borderId="0" xfId="0" applyNumberFormat="1" applyFont="1" applyFill="1" applyBorder="1" applyAlignment="1" applyProtection="1">
      <alignment horizontal="left"/>
      <protection hidden="1"/>
    </xf>
    <xf numFmtId="0" fontId="27" fillId="10" borderId="0" xfId="0" applyFont="1" applyFill="1" applyBorder="1" applyAlignment="1" applyProtection="1">
      <alignment horizontal="center" textRotation="90"/>
      <protection hidden="1"/>
    </xf>
    <xf numFmtId="166" fontId="18" fillId="10" borderId="0" xfId="0" applyNumberFormat="1" applyFont="1" applyFill="1" applyBorder="1" applyAlignment="1" applyProtection="1">
      <alignment horizontal="left"/>
      <protection hidden="1"/>
    </xf>
    <xf numFmtId="0" fontId="0" fillId="14" borderId="35" xfId="0" applyFill="1" applyBorder="1"/>
    <xf numFmtId="0" fontId="0" fillId="14" borderId="36" xfId="0" applyFill="1" applyBorder="1"/>
    <xf numFmtId="2" fontId="57" fillId="15" borderId="26" xfId="0" applyNumberFormat="1" applyFont="1" applyFill="1" applyBorder="1" applyAlignment="1" applyProtection="1">
      <alignment horizontal="center"/>
      <protection hidden="1"/>
    </xf>
    <xf numFmtId="166" fontId="57" fillId="15" borderId="26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Border="1" applyAlignment="1" applyProtection="1">
      <alignment horizontal="center"/>
      <protection hidden="1"/>
    </xf>
    <xf numFmtId="0" fontId="20" fillId="10" borderId="0" xfId="0" quotePrefix="1" applyFont="1" applyFill="1" applyBorder="1" applyAlignment="1" applyProtection="1">
      <alignment textRotation="90"/>
      <protection hidden="1"/>
    </xf>
    <xf numFmtId="0" fontId="73" fillId="10" borderId="0" xfId="0" quotePrefix="1" applyFont="1" applyFill="1" applyBorder="1" applyAlignment="1" applyProtection="1">
      <protection hidden="1"/>
    </xf>
    <xf numFmtId="166" fontId="76" fillId="10" borderId="0" xfId="0" applyNumberFormat="1" applyFont="1" applyFill="1" applyBorder="1" applyAlignment="1" applyProtection="1">
      <protection hidden="1"/>
    </xf>
    <xf numFmtId="0" fontId="21" fillId="10" borderId="0" xfId="0" applyFont="1" applyFill="1" applyBorder="1" applyAlignment="1" applyProtection="1">
      <alignment textRotation="90"/>
      <protection hidden="1"/>
    </xf>
    <xf numFmtId="0" fontId="50" fillId="10" borderId="0" xfId="0" quotePrefix="1" applyFont="1" applyFill="1" applyBorder="1" applyAlignment="1" applyProtection="1">
      <alignment horizontal="left"/>
      <protection hidden="1"/>
    </xf>
    <xf numFmtId="0" fontId="13" fillId="10" borderId="0" xfId="0" applyFont="1" applyFill="1" applyBorder="1" applyAlignment="1" applyProtection="1">
      <alignment textRotation="90"/>
      <protection hidden="1"/>
    </xf>
    <xf numFmtId="166" fontId="74" fillId="10" borderId="0" xfId="1" applyNumberFormat="1" applyFont="1" applyFill="1" applyBorder="1" applyAlignment="1" applyProtection="1">
      <alignment horizontal="center"/>
      <protection hidden="1"/>
    </xf>
    <xf numFmtId="0" fontId="74" fillId="10" borderId="0" xfId="0" quotePrefix="1" applyFont="1" applyFill="1" applyBorder="1" applyAlignment="1" applyProtection="1">
      <alignment horizontal="center" textRotation="90"/>
      <protection hidden="1"/>
    </xf>
    <xf numFmtId="0" fontId="20" fillId="10" borderId="0" xfId="0" applyFont="1" applyFill="1" applyBorder="1" applyAlignment="1" applyProtection="1">
      <alignment textRotation="90"/>
      <protection hidden="1"/>
    </xf>
    <xf numFmtId="0" fontId="78" fillId="10" borderId="0" xfId="0" quotePrefix="1" applyFont="1" applyFill="1" applyBorder="1" applyAlignment="1" applyProtection="1">
      <alignment horizontal="center" vertical="center" textRotation="90"/>
      <protection hidden="1"/>
    </xf>
    <xf numFmtId="0" fontId="68" fillId="10" borderId="0" xfId="0" applyFont="1" applyFill="1" applyBorder="1" applyAlignment="1" applyProtection="1">
      <alignment horizontal="left" vertical="center"/>
      <protection hidden="1"/>
    </xf>
    <xf numFmtId="0" fontId="78" fillId="10" borderId="0" xfId="0" applyFont="1" applyFill="1" applyBorder="1" applyAlignment="1" applyProtection="1">
      <alignment horizontal="left" vertical="center"/>
      <protection hidden="1"/>
    </xf>
    <xf numFmtId="0" fontId="18" fillId="10" borderId="0" xfId="0" applyFont="1" applyFill="1" applyBorder="1" applyAlignment="1" applyProtection="1">
      <protection hidden="1"/>
    </xf>
    <xf numFmtId="2" fontId="66" fillId="10" borderId="0" xfId="0" applyNumberFormat="1" applyFont="1" applyFill="1" applyBorder="1" applyAlignment="1" applyProtection="1">
      <alignment horizontal="center"/>
      <protection hidden="1"/>
    </xf>
    <xf numFmtId="166" fontId="74" fillId="10" borderId="0" xfId="0" applyNumberFormat="1" applyFont="1" applyFill="1" applyBorder="1" applyAlignment="1" applyProtection="1">
      <protection hidden="1"/>
    </xf>
    <xf numFmtId="0" fontId="66" fillId="10" borderId="0" xfId="0" applyFont="1" applyFill="1" applyBorder="1" applyAlignment="1" applyProtection="1">
      <alignment horizontal="center" textRotation="90"/>
      <protection hidden="1"/>
    </xf>
    <xf numFmtId="166" fontId="10" fillId="10" borderId="0" xfId="0" applyNumberFormat="1" applyFont="1" applyFill="1" applyBorder="1" applyAlignment="1" applyProtection="1">
      <alignment horizontal="right"/>
      <protection hidden="1"/>
    </xf>
    <xf numFmtId="177" fontId="32" fillId="10" borderId="0" xfId="0" applyNumberFormat="1" applyFont="1" applyFill="1" applyBorder="1" applyAlignment="1" applyProtection="1">
      <alignment horizontal="right"/>
      <protection hidden="1"/>
    </xf>
    <xf numFmtId="0" fontId="80" fillId="10" borderId="0" xfId="0" applyFont="1" applyFill="1" applyBorder="1" applyAlignment="1">
      <alignment horizontal="center"/>
    </xf>
    <xf numFmtId="0" fontId="79" fillId="10" borderId="0" xfId="0" applyFont="1" applyFill="1" applyBorder="1" applyAlignment="1" applyProtection="1">
      <alignment vertical="center"/>
      <protection hidden="1"/>
    </xf>
    <xf numFmtId="9" fontId="4" fillId="13" borderId="26" xfId="3" applyFont="1" applyFill="1" applyBorder="1" applyAlignment="1">
      <alignment horizontal="center"/>
    </xf>
    <xf numFmtId="0" fontId="81" fillId="10" borderId="0" xfId="0" applyFont="1" applyFill="1" applyBorder="1" applyAlignment="1" applyProtection="1">
      <protection hidden="1"/>
    </xf>
    <xf numFmtId="0" fontId="82" fillId="10" borderId="0" xfId="0" applyFont="1" applyFill="1" applyBorder="1" applyAlignment="1"/>
    <xf numFmtId="166" fontId="64" fillId="10" borderId="0" xfId="0" applyNumberFormat="1" applyFont="1" applyFill="1" applyBorder="1" applyAlignment="1" applyProtection="1">
      <protection hidden="1"/>
    </xf>
    <xf numFmtId="166" fontId="66" fillId="10" borderId="0" xfId="0" applyNumberFormat="1" applyFont="1" applyFill="1" applyBorder="1" applyAlignment="1" applyProtection="1">
      <alignment horizontal="left"/>
      <protection hidden="1"/>
    </xf>
    <xf numFmtId="0" fontId="81" fillId="10" borderId="26" xfId="0" applyFont="1" applyFill="1" applyBorder="1" applyAlignment="1" applyProtection="1">
      <alignment horizontal="left" vertical="center"/>
      <protection hidden="1"/>
    </xf>
    <xf numFmtId="166" fontId="74" fillId="10" borderId="0" xfId="0" applyNumberFormat="1" applyFont="1" applyFill="1" applyBorder="1" applyAlignment="1" applyProtection="1">
      <alignment horizontal="left"/>
      <protection hidden="1"/>
    </xf>
    <xf numFmtId="0" fontId="83" fillId="10" borderId="0" xfId="0" applyFont="1" applyFill="1" applyBorder="1" applyAlignment="1" applyProtection="1">
      <alignment horizontal="left"/>
      <protection hidden="1"/>
    </xf>
    <xf numFmtId="0" fontId="84" fillId="10" borderId="0" xfId="0" applyFont="1" applyFill="1" applyBorder="1" applyAlignment="1" applyProtection="1">
      <alignment horizontal="left" vertical="center"/>
      <protection hidden="1"/>
    </xf>
    <xf numFmtId="9" fontId="19" fillId="8" borderId="0" xfId="0" applyNumberFormat="1" applyFont="1" applyFill="1"/>
    <xf numFmtId="0" fontId="81" fillId="10" borderId="36" xfId="0" applyFont="1" applyFill="1" applyBorder="1" applyAlignment="1"/>
    <xf numFmtId="0" fontId="81" fillId="10" borderId="26" xfId="0" applyFont="1" applyFill="1" applyBorder="1" applyAlignment="1"/>
    <xf numFmtId="0" fontId="27" fillId="10" borderId="0" xfId="0" applyFont="1" applyFill="1" applyBorder="1" applyAlignment="1" applyProtection="1">
      <alignment vertical="center"/>
      <protection hidden="1"/>
    </xf>
    <xf numFmtId="0" fontId="27" fillId="10" borderId="0" xfId="0" applyFont="1" applyFill="1" applyBorder="1" applyAlignment="1" applyProtection="1">
      <alignment horizontal="left" vertical="center"/>
      <protection hidden="1"/>
    </xf>
    <xf numFmtId="0" fontId="81" fillId="10" borderId="26" xfId="0" applyFont="1" applyFill="1" applyBorder="1" applyAlignment="1">
      <alignment horizontal="left" vertical="center"/>
    </xf>
    <xf numFmtId="0" fontId="81" fillId="10" borderId="0" xfId="0" applyFont="1" applyFill="1" applyBorder="1" applyAlignment="1" applyProtection="1">
      <alignment horizontal="left" vertical="center"/>
      <protection hidden="1"/>
    </xf>
    <xf numFmtId="166" fontId="85" fillId="10" borderId="0" xfId="0" applyNumberFormat="1" applyFont="1" applyFill="1" applyBorder="1" applyAlignment="1" applyProtection="1">
      <protection hidden="1"/>
    </xf>
    <xf numFmtId="166" fontId="87" fillId="10" borderId="0" xfId="0" applyNumberFormat="1" applyFont="1" applyFill="1" applyBorder="1" applyAlignment="1" applyProtection="1">
      <protection hidden="1"/>
    </xf>
    <xf numFmtId="166" fontId="4" fillId="13" borderId="26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4" fillId="8" borderId="0" xfId="0" applyFont="1" applyFill="1" applyAlignment="1"/>
    <xf numFmtId="0" fontId="7" fillId="8" borderId="0" xfId="0" applyFont="1" applyFill="1" applyAlignment="1">
      <alignment textRotation="90"/>
    </xf>
    <xf numFmtId="0" fontId="26" fillId="8" borderId="0" xfId="0" quotePrefix="1" applyFont="1" applyFill="1" applyAlignment="1">
      <alignment textRotation="90"/>
    </xf>
    <xf numFmtId="0" fontId="26" fillId="8" borderId="0" xfId="0" applyFont="1" applyFill="1" applyAlignment="1">
      <alignment textRotation="90"/>
    </xf>
    <xf numFmtId="164" fontId="4" fillId="8" borderId="0" xfId="2" applyFont="1" applyFill="1" applyAlignment="1"/>
    <xf numFmtId="0" fontId="18" fillId="8" borderId="0" xfId="0" applyFont="1" applyFill="1" applyBorder="1" applyAlignment="1">
      <alignment textRotation="90"/>
    </xf>
    <xf numFmtId="166" fontId="18" fillId="8" borderId="0" xfId="0" applyNumberFormat="1" applyFont="1" applyFill="1"/>
    <xf numFmtId="164" fontId="4" fillId="8" borderId="0" xfId="2" applyNumberFormat="1" applyFont="1" applyFill="1" applyAlignment="1"/>
    <xf numFmtId="166" fontId="19" fillId="8" borderId="0" xfId="0" applyNumberFormat="1" applyFont="1" applyFill="1" applyAlignment="1"/>
    <xf numFmtId="0" fontId="66" fillId="8" borderId="0" xfId="0" applyFont="1" applyFill="1"/>
    <xf numFmtId="173" fontId="66" fillId="8" borderId="0" xfId="2" applyNumberFormat="1" applyFont="1" applyFill="1"/>
    <xf numFmtId="173" fontId="66" fillId="8" borderId="0" xfId="2" applyNumberFormat="1" applyFont="1" applyFill="1" applyAlignment="1"/>
    <xf numFmtId="0" fontId="66" fillId="8" borderId="0" xfId="0" applyFont="1" applyFill="1" applyAlignment="1">
      <alignment horizontal="center"/>
    </xf>
    <xf numFmtId="173" fontId="4" fillId="8" borderId="0" xfId="2" applyNumberFormat="1" applyFont="1" applyFill="1"/>
    <xf numFmtId="173" fontId="4" fillId="8" borderId="0" xfId="0" applyNumberFormat="1" applyFont="1" applyFill="1"/>
    <xf numFmtId="178" fontId="4" fillId="8" borderId="0" xfId="2" applyNumberFormat="1" applyFont="1" applyFill="1"/>
    <xf numFmtId="0" fontId="4" fillId="13" borderId="0" xfId="0" applyFont="1" applyFill="1"/>
    <xf numFmtId="173" fontId="4" fillId="13" borderId="0" xfId="0" applyNumberFormat="1" applyFont="1" applyFill="1"/>
    <xf numFmtId="178" fontId="4" fillId="13" borderId="0" xfId="0" applyNumberFormat="1" applyFont="1" applyFill="1"/>
    <xf numFmtId="11" fontId="4" fillId="8" borderId="0" xfId="0" applyNumberFormat="1" applyFont="1" applyFill="1"/>
    <xf numFmtId="11" fontId="4" fillId="13" borderId="0" xfId="0" applyNumberFormat="1" applyFont="1" applyFill="1"/>
    <xf numFmtId="2" fontId="4" fillId="8" borderId="0" xfId="0" applyNumberFormat="1" applyFont="1" applyFill="1"/>
    <xf numFmtId="0" fontId="4" fillId="10" borderId="0" xfId="0" applyFont="1" applyFill="1" applyBorder="1" applyAlignment="1">
      <alignment horizontal="center"/>
    </xf>
    <xf numFmtId="173" fontId="4" fillId="8" borderId="0" xfId="2" applyNumberFormat="1" applyFont="1" applyFill="1" applyAlignment="1">
      <alignment horizontal="center"/>
    </xf>
    <xf numFmtId="177" fontId="4" fillId="8" borderId="0" xfId="0" applyNumberFormat="1" applyFont="1" applyFill="1" applyAlignment="1">
      <alignment horizontal="center"/>
    </xf>
    <xf numFmtId="11" fontId="4" fillId="8" borderId="0" xfId="0" applyNumberFormat="1" applyFont="1" applyFill="1" applyAlignment="1">
      <alignment horizontal="center"/>
    </xf>
    <xf numFmtId="43" fontId="4" fillId="8" borderId="0" xfId="0" applyNumberFormat="1" applyFont="1" applyFill="1" applyAlignment="1">
      <alignment horizontal="center"/>
    </xf>
    <xf numFmtId="179" fontId="4" fillId="8" borderId="0" xfId="0" applyNumberFormat="1" applyFont="1" applyFill="1" applyAlignment="1">
      <alignment horizontal="center"/>
    </xf>
    <xf numFmtId="180" fontId="4" fillId="8" borderId="0" xfId="0" applyNumberFormat="1" applyFont="1" applyFill="1" applyAlignment="1">
      <alignment horizontal="center"/>
    </xf>
    <xf numFmtId="181" fontId="4" fillId="8" borderId="0" xfId="0" applyNumberFormat="1" applyFont="1" applyFill="1" applyAlignment="1">
      <alignment horizontal="center"/>
    </xf>
    <xf numFmtId="0" fontId="67" fillId="8" borderId="0" xfId="0" applyFont="1" applyFill="1"/>
    <xf numFmtId="0" fontId="4" fillId="14" borderId="0" xfId="0" applyFont="1" applyFill="1"/>
    <xf numFmtId="11" fontId="4" fillId="14" borderId="0" xfId="0" applyNumberFormat="1" applyFont="1" applyFill="1"/>
    <xf numFmtId="166" fontId="4" fillId="14" borderId="0" xfId="0" applyNumberFormat="1" applyFont="1" applyFill="1"/>
    <xf numFmtId="182" fontId="4" fillId="8" borderId="0" xfId="0" applyNumberFormat="1" applyFont="1" applyFill="1"/>
    <xf numFmtId="166" fontId="18" fillId="8" borderId="0" xfId="0" applyNumberFormat="1" applyFont="1" applyFill="1" applyAlignment="1"/>
    <xf numFmtId="0" fontId="89" fillId="10" borderId="0" xfId="0" applyFont="1" applyFill="1" applyBorder="1"/>
    <xf numFmtId="0" fontId="15" fillId="10" borderId="0" xfId="0" applyFont="1" applyFill="1" applyBorder="1" applyAlignment="1" applyProtection="1">
      <protection hidden="1"/>
    </xf>
    <xf numFmtId="0" fontId="4" fillId="16" borderId="12" xfId="0" applyFont="1" applyFill="1" applyBorder="1" applyAlignment="1"/>
    <xf numFmtId="171" fontId="4" fillId="8" borderId="26" xfId="1" applyNumberFormat="1" applyFont="1" applyFill="1" applyBorder="1" applyAlignment="1">
      <alignment horizontal="center"/>
    </xf>
    <xf numFmtId="2" fontId="4" fillId="10" borderId="0" xfId="0" quotePrefix="1" applyNumberFormat="1" applyFont="1" applyFill="1" applyBorder="1" applyAlignment="1"/>
    <xf numFmtId="0" fontId="68" fillId="10" borderId="0" xfId="0" applyFont="1" applyFill="1" applyBorder="1" applyAlignment="1" applyProtection="1">
      <protection hidden="1"/>
    </xf>
    <xf numFmtId="0" fontId="4" fillId="10" borderId="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right"/>
    </xf>
    <xf numFmtId="0" fontId="62" fillId="10" borderId="22" xfId="0" applyFont="1" applyFill="1" applyBorder="1" applyAlignment="1" applyProtection="1">
      <alignment horizontal="center" vertical="center"/>
      <protection hidden="1"/>
    </xf>
    <xf numFmtId="0" fontId="62" fillId="10" borderId="0" xfId="0" applyFont="1" applyFill="1" applyBorder="1" applyAlignment="1" applyProtection="1">
      <alignment horizontal="center" vertical="center"/>
      <protection hidden="1"/>
    </xf>
    <xf numFmtId="0" fontId="62" fillId="10" borderId="21" xfId="0" applyFont="1" applyFill="1" applyBorder="1" applyAlignment="1" applyProtection="1">
      <alignment horizontal="center" vertical="center"/>
      <protection hidden="1"/>
    </xf>
    <xf numFmtId="1" fontId="68" fillId="10" borderId="0" xfId="0" applyNumberFormat="1" applyFont="1" applyFill="1" applyBorder="1" applyAlignment="1" applyProtection="1">
      <protection hidden="1"/>
    </xf>
    <xf numFmtId="0" fontId="26" fillId="10" borderId="22" xfId="0" applyFont="1" applyFill="1" applyBorder="1" applyAlignment="1" applyProtection="1">
      <protection hidden="1"/>
    </xf>
    <xf numFmtId="2" fontId="26" fillId="10" borderId="0" xfId="0" applyNumberFormat="1" applyFont="1" applyFill="1" applyBorder="1" applyAlignment="1" applyProtection="1">
      <alignment horizontal="center"/>
      <protection hidden="1"/>
    </xf>
    <xf numFmtId="166" fontId="66" fillId="10" borderId="44" xfId="0" applyNumberFormat="1" applyFont="1" applyFill="1" applyBorder="1" applyAlignment="1"/>
    <xf numFmtId="166" fontId="66" fillId="10" borderId="36" xfId="0" applyNumberFormat="1" applyFont="1" applyFill="1" applyBorder="1" applyAlignment="1"/>
    <xf numFmtId="166" fontId="4" fillId="8" borderId="0" xfId="0" applyNumberFormat="1" applyFont="1" applyFill="1"/>
    <xf numFmtId="9" fontId="4" fillId="8" borderId="0" xfId="0" applyNumberFormat="1" applyFont="1" applyFill="1"/>
    <xf numFmtId="9" fontId="4" fillId="8" borderId="0" xfId="0" applyNumberFormat="1" applyFont="1" applyFill="1" applyAlignment="1"/>
    <xf numFmtId="9" fontId="4" fillId="8" borderId="0" xfId="3" applyFont="1" applyFill="1"/>
    <xf numFmtId="166" fontId="4" fillId="8" borderId="0" xfId="3" applyNumberFormat="1" applyFont="1" applyFill="1"/>
    <xf numFmtId="9" fontId="4" fillId="10" borderId="21" xfId="3" applyFont="1" applyFill="1" applyBorder="1" applyAlignment="1"/>
    <xf numFmtId="0" fontId="68" fillId="10" borderId="23" xfId="0" applyFont="1" applyFill="1" applyBorder="1" applyAlignment="1" applyProtection="1">
      <alignment vertical="center"/>
      <protection hidden="1"/>
    </xf>
    <xf numFmtId="9" fontId="81" fillId="10" borderId="0" xfId="3" applyFont="1" applyFill="1" applyBorder="1" applyAlignment="1" applyProtection="1">
      <alignment horizontal="right" vertical="top"/>
      <protection hidden="1"/>
    </xf>
    <xf numFmtId="166" fontId="81" fillId="10" borderId="35" xfId="0" applyNumberFormat="1" applyFont="1" applyFill="1" applyBorder="1" applyAlignment="1"/>
    <xf numFmtId="171" fontId="66" fillId="10" borderId="26" xfId="0" applyNumberFormat="1" applyFont="1" applyFill="1" applyBorder="1" applyAlignment="1" applyProtection="1">
      <protection hidden="1"/>
    </xf>
    <xf numFmtId="9" fontId="91" fillId="10" borderId="36" xfId="3" applyFont="1" applyFill="1" applyBorder="1" applyAlignment="1" applyProtection="1">
      <alignment horizontal="center"/>
      <protection hidden="1"/>
    </xf>
    <xf numFmtId="172" fontId="66" fillId="10" borderId="35" xfId="0" applyNumberFormat="1" applyFont="1" applyFill="1" applyBorder="1" applyAlignment="1" applyProtection="1">
      <alignment horizontal="center"/>
      <protection hidden="1"/>
    </xf>
    <xf numFmtId="171" fontId="66" fillId="10" borderId="26" xfId="1" applyNumberFormat="1" applyFont="1" applyFill="1" applyBorder="1" applyAlignment="1" applyProtection="1">
      <protection hidden="1"/>
    </xf>
    <xf numFmtId="172" fontId="66" fillId="10" borderId="35" xfId="1" applyNumberFormat="1" applyFont="1" applyFill="1" applyBorder="1" applyAlignment="1" applyProtection="1">
      <alignment horizontal="center"/>
      <protection hidden="1"/>
    </xf>
    <xf numFmtId="166" fontId="66" fillId="10" borderId="26" xfId="0" applyNumberFormat="1" applyFont="1" applyFill="1" applyBorder="1" applyAlignment="1"/>
    <xf numFmtId="172" fontId="66" fillId="10" borderId="35" xfId="0" applyNumberFormat="1" applyFont="1" applyFill="1" applyBorder="1" applyAlignment="1">
      <alignment horizontal="center"/>
    </xf>
    <xf numFmtId="0" fontId="42" fillId="10" borderId="0" xfId="0" quotePrefix="1" applyFont="1" applyFill="1" applyBorder="1" applyAlignment="1" applyProtection="1">
      <protection hidden="1"/>
    </xf>
    <xf numFmtId="166" fontId="4" fillId="10" borderId="26" xfId="0" applyNumberFormat="1" applyFont="1" applyFill="1" applyBorder="1" applyAlignment="1">
      <alignment horizontal="center"/>
    </xf>
    <xf numFmtId="0" fontId="79" fillId="10" borderId="0" xfId="0" applyFont="1" applyFill="1" applyBorder="1" applyAlignment="1">
      <alignment horizontal="center"/>
    </xf>
    <xf numFmtId="9" fontId="81" fillId="10" borderId="21" xfId="3" applyFont="1" applyFill="1" applyBorder="1" applyAlignment="1" applyProtection="1">
      <protection hidden="1"/>
    </xf>
    <xf numFmtId="9" fontId="74" fillId="10" borderId="21" xfId="3" applyFont="1" applyFill="1" applyBorder="1" applyAlignment="1"/>
    <xf numFmtId="9" fontId="74" fillId="10" borderId="21" xfId="3" applyFont="1" applyFill="1" applyBorder="1" applyAlignment="1" applyProtection="1">
      <protection hidden="1"/>
    </xf>
    <xf numFmtId="9" fontId="87" fillId="10" borderId="44" xfId="3" applyFont="1" applyFill="1" applyBorder="1" applyAlignment="1" applyProtection="1">
      <protection hidden="1"/>
    </xf>
    <xf numFmtId="9" fontId="74" fillId="10" borderId="0" xfId="3" applyFont="1" applyFill="1" applyBorder="1" applyAlignment="1" applyProtection="1">
      <protection hidden="1"/>
    </xf>
    <xf numFmtId="9" fontId="4" fillId="10" borderId="26" xfId="3" applyFont="1" applyFill="1" applyBorder="1" applyAlignment="1">
      <alignment horizontal="center"/>
    </xf>
    <xf numFmtId="1" fontId="4" fillId="10" borderId="26" xfId="0" applyNumberFormat="1" applyFont="1" applyFill="1" applyBorder="1" applyAlignment="1" applyProtection="1">
      <alignment horizontal="center"/>
      <protection hidden="1"/>
    </xf>
    <xf numFmtId="0" fontId="4" fillId="10" borderId="26" xfId="0" applyFont="1" applyFill="1" applyBorder="1" applyAlignment="1" applyProtection="1">
      <alignment horizontal="center"/>
      <protection hidden="1"/>
    </xf>
    <xf numFmtId="166" fontId="32" fillId="10" borderId="26" xfId="0" applyNumberFormat="1" applyFont="1" applyFill="1" applyBorder="1" applyAlignment="1" applyProtection="1">
      <alignment horizontal="center"/>
      <protection hidden="1"/>
    </xf>
    <xf numFmtId="2" fontId="15" fillId="10" borderId="26" xfId="0" applyNumberFormat="1" applyFont="1" applyFill="1" applyBorder="1" applyAlignment="1" applyProtection="1">
      <alignment horizontal="center"/>
      <protection hidden="1"/>
    </xf>
    <xf numFmtId="1" fontId="32" fillId="10" borderId="26" xfId="0" applyNumberFormat="1" applyFont="1" applyFill="1" applyBorder="1" applyAlignment="1" applyProtection="1">
      <alignment horizontal="center"/>
      <protection hidden="1"/>
    </xf>
    <xf numFmtId="171" fontId="15" fillId="10" borderId="26" xfId="1" applyNumberFormat="1" applyFont="1" applyFill="1" applyBorder="1" applyAlignment="1" applyProtection="1">
      <alignment horizontal="center"/>
      <protection hidden="1"/>
    </xf>
    <xf numFmtId="0" fontId="0" fillId="13" borderId="35" xfId="0" applyFill="1" applyBorder="1"/>
    <xf numFmtId="0" fontId="0" fillId="13" borderId="36" xfId="0" applyFill="1" applyBorder="1"/>
    <xf numFmtId="172" fontId="4" fillId="13" borderId="26" xfId="1" applyNumberFormat="1" applyFont="1" applyFill="1" applyBorder="1" applyAlignment="1" applyProtection="1">
      <alignment horizontal="center"/>
      <protection locked="0" hidden="1"/>
    </xf>
    <xf numFmtId="0" fontId="4" fillId="13" borderId="35" xfId="0" applyFont="1" applyFill="1" applyBorder="1"/>
    <xf numFmtId="0" fontId="4" fillId="13" borderId="36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/>
    </xf>
    <xf numFmtId="0" fontId="81" fillId="10" borderId="0" xfId="0" applyFont="1" applyFill="1" applyBorder="1" applyAlignment="1"/>
    <xf numFmtId="2" fontId="81" fillId="10" borderId="26" xfId="0" applyNumberFormat="1" applyFont="1" applyFill="1" applyBorder="1" applyAlignment="1" applyProtection="1">
      <alignment horizontal="center"/>
      <protection hidden="1"/>
    </xf>
    <xf numFmtId="166" fontId="78" fillId="8" borderId="43" xfId="0" applyNumberFormat="1" applyFont="1" applyFill="1" applyBorder="1" applyAlignment="1">
      <alignment horizontal="center"/>
    </xf>
    <xf numFmtId="166" fontId="74" fillId="8" borderId="26" xfId="0" applyNumberFormat="1" applyFont="1" applyFill="1" applyBorder="1" applyAlignment="1">
      <alignment horizontal="center"/>
    </xf>
    <xf numFmtId="166" fontId="78" fillId="8" borderId="26" xfId="0" applyNumberFormat="1" applyFont="1" applyFill="1" applyBorder="1" applyAlignment="1">
      <alignment horizontal="center"/>
    </xf>
    <xf numFmtId="166" fontId="78" fillId="10" borderId="0" xfId="0" applyNumberFormat="1" applyFont="1" applyFill="1" applyBorder="1" applyAlignment="1" applyProtection="1">
      <alignment horizontal="center"/>
      <protection hidden="1"/>
    </xf>
    <xf numFmtId="0" fontId="66" fillId="10" borderId="44" xfId="0" applyFont="1" applyFill="1" applyBorder="1" applyAlignment="1" applyProtection="1">
      <alignment horizontal="center"/>
      <protection hidden="1"/>
    </xf>
    <xf numFmtId="0" fontId="81" fillId="10" borderId="44" xfId="0" applyFont="1" applyFill="1" applyBorder="1" applyAlignment="1" applyProtection="1">
      <alignment horizontal="center"/>
      <protection hidden="1"/>
    </xf>
    <xf numFmtId="0" fontId="4" fillId="10" borderId="12" xfId="0" applyFont="1" applyFill="1" applyBorder="1" applyAlignment="1"/>
    <xf numFmtId="166" fontId="81" fillId="10" borderId="0" xfId="0" applyNumberFormat="1" applyFont="1" applyFill="1" applyBorder="1" applyAlignment="1" applyProtection="1">
      <protection hidden="1"/>
    </xf>
    <xf numFmtId="0" fontId="74" fillId="10" borderId="0" xfId="0" applyFont="1" applyFill="1" applyBorder="1" applyAlignment="1">
      <alignment horizontal="right"/>
    </xf>
    <xf numFmtId="0" fontId="74" fillId="10" borderId="0" xfId="0" applyFont="1" applyFill="1" applyBorder="1" applyAlignment="1" applyProtection="1">
      <alignment horizontal="left"/>
      <protection hidden="1"/>
    </xf>
    <xf numFmtId="0" fontId="92" fillId="10" borderId="0" xfId="0" applyFont="1" applyFill="1" applyBorder="1"/>
    <xf numFmtId="0" fontId="72" fillId="10" borderId="0" xfId="0" quotePrefix="1" applyFont="1" applyFill="1" applyBorder="1" applyAlignment="1" applyProtection="1">
      <alignment textRotation="90"/>
      <protection hidden="1"/>
    </xf>
    <xf numFmtId="0" fontId="27" fillId="10" borderId="0" xfId="0" applyFont="1" applyFill="1" applyBorder="1" applyAlignment="1" applyProtection="1">
      <alignment textRotation="90"/>
      <protection hidden="1"/>
    </xf>
    <xf numFmtId="166" fontId="66" fillId="10" borderId="0" xfId="0" applyNumberFormat="1" applyFont="1" applyFill="1" applyBorder="1" applyAlignment="1" applyProtection="1">
      <protection hidden="1"/>
    </xf>
    <xf numFmtId="0" fontId="38" fillId="10" borderId="0" xfId="0" applyFont="1" applyFill="1" applyBorder="1" applyAlignment="1"/>
    <xf numFmtId="0" fontId="93" fillId="10" borderId="0" xfId="0" applyFont="1" applyFill="1" applyBorder="1" applyAlignment="1" applyProtection="1">
      <protection hidden="1"/>
    </xf>
    <xf numFmtId="9" fontId="94" fillId="10" borderId="0" xfId="3" applyFont="1" applyFill="1" applyBorder="1" applyAlignment="1">
      <alignment horizontal="center"/>
    </xf>
    <xf numFmtId="9" fontId="94" fillId="10" borderId="0" xfId="3" applyFont="1" applyFill="1" applyBorder="1" applyAlignment="1" applyProtection="1">
      <alignment horizontal="center"/>
      <protection hidden="1"/>
    </xf>
    <xf numFmtId="0" fontId="4" fillId="10" borderId="0" xfId="0" applyFont="1" applyFill="1" applyBorder="1" applyAlignment="1">
      <alignment horizontal="left"/>
    </xf>
    <xf numFmtId="0" fontId="81" fillId="10" borderId="0" xfId="0" applyFont="1" applyFill="1" applyBorder="1" applyAlignment="1" applyProtection="1">
      <alignment horizontal="right" vertical="top"/>
      <protection hidden="1"/>
    </xf>
    <xf numFmtId="0" fontId="66" fillId="10" borderId="0" xfId="0" applyFont="1" applyFill="1" applyBorder="1" applyAlignment="1" applyProtection="1">
      <alignment horizontal="center"/>
      <protection hidden="1"/>
    </xf>
    <xf numFmtId="9" fontId="81" fillId="10" borderId="0" xfId="3" applyFont="1" applyFill="1" applyBorder="1" applyAlignment="1" applyProtection="1">
      <protection hidden="1"/>
    </xf>
    <xf numFmtId="0" fontId="0" fillId="10" borderId="0" xfId="0" applyFill="1" applyBorder="1" applyAlignment="1">
      <alignment vertical="top"/>
    </xf>
    <xf numFmtId="9" fontId="81" fillId="10" borderId="0" xfId="3" applyFont="1" applyFill="1" applyBorder="1" applyAlignment="1" applyProtection="1">
      <alignment horizontal="right"/>
      <protection hidden="1"/>
    </xf>
    <xf numFmtId="0" fontId="74" fillId="10" borderId="0" xfId="0" applyFont="1" applyFill="1" applyBorder="1" applyAlignment="1" applyProtection="1">
      <alignment vertical="top"/>
      <protection hidden="1"/>
    </xf>
    <xf numFmtId="0" fontId="68" fillId="10" borderId="0" xfId="0" applyFont="1" applyFill="1" applyBorder="1" applyAlignment="1" applyProtection="1">
      <alignment vertical="top"/>
      <protection hidden="1"/>
    </xf>
    <xf numFmtId="9" fontId="66" fillId="10" borderId="0" xfId="3" applyFont="1" applyFill="1" applyBorder="1" applyAlignment="1" applyProtection="1">
      <alignment horizontal="right"/>
      <protection hidden="1"/>
    </xf>
    <xf numFmtId="0" fontId="66" fillId="10" borderId="0" xfId="0" applyFont="1" applyFill="1" applyBorder="1" applyAlignment="1" applyProtection="1">
      <alignment horizontal="right" vertical="top"/>
      <protection hidden="1"/>
    </xf>
    <xf numFmtId="0" fontId="79" fillId="10" borderId="0" xfId="0" applyFont="1" applyFill="1" applyBorder="1" applyAlignment="1" applyProtection="1">
      <alignment horizontal="center" vertical="top"/>
      <protection hidden="1"/>
    </xf>
    <xf numFmtId="0" fontId="96" fillId="10" borderId="0" xfId="0" applyFont="1" applyFill="1" applyBorder="1" applyAlignment="1" applyProtection="1">
      <alignment vertical="top"/>
      <protection hidden="1"/>
    </xf>
    <xf numFmtId="0" fontId="78" fillId="10" borderId="0" xfId="0" applyFont="1" applyFill="1" applyBorder="1" applyAlignment="1" applyProtection="1">
      <protection hidden="1"/>
    </xf>
    <xf numFmtId="0" fontId="79" fillId="10" borderId="0" xfId="0" applyFont="1" applyFill="1" applyBorder="1" applyAlignment="1" applyProtection="1">
      <protection hidden="1"/>
    </xf>
    <xf numFmtId="0" fontId="95" fillId="10" borderId="0" xfId="0" applyFont="1" applyFill="1" applyBorder="1" applyAlignment="1" applyProtection="1">
      <protection hidden="1"/>
    </xf>
    <xf numFmtId="0" fontId="97" fillId="10" borderId="0" xfId="0" applyFont="1" applyFill="1" applyBorder="1" applyAlignment="1" applyProtection="1">
      <alignment horizontal="center"/>
      <protection hidden="1"/>
    </xf>
    <xf numFmtId="0" fontId="77" fillId="14" borderId="26" xfId="0" applyFont="1" applyFill="1" applyBorder="1" applyAlignment="1" applyProtection="1">
      <alignment horizontal="center"/>
      <protection hidden="1"/>
    </xf>
    <xf numFmtId="0" fontId="98" fillId="10" borderId="26" xfId="0" applyFont="1" applyFill="1" applyBorder="1" applyAlignment="1" applyProtection="1">
      <alignment horizontal="center"/>
      <protection hidden="1"/>
    </xf>
    <xf numFmtId="0" fontId="0" fillId="10" borderId="0" xfId="0" applyFill="1" applyBorder="1" applyAlignment="1"/>
    <xf numFmtId="9" fontId="79" fillId="10" borderId="0" xfId="3" applyFont="1" applyFill="1" applyBorder="1" applyAlignment="1" applyProtection="1">
      <alignment horizontal="center"/>
      <protection hidden="1"/>
    </xf>
    <xf numFmtId="0" fontId="67" fillId="10" borderId="0" xfId="0" applyFont="1" applyFill="1" applyBorder="1" applyAlignment="1"/>
    <xf numFmtId="0" fontId="79" fillId="10" borderId="0" xfId="0" applyFont="1" applyFill="1" applyBorder="1" applyAlignment="1"/>
    <xf numFmtId="9" fontId="81" fillId="13" borderId="26" xfId="3" applyFont="1" applyFill="1" applyBorder="1" applyAlignment="1">
      <alignment horizontal="center"/>
    </xf>
    <xf numFmtId="0" fontId="81" fillId="10" borderId="0" xfId="0" applyFont="1" applyFill="1" applyBorder="1" applyAlignment="1">
      <alignment horizontal="center"/>
    </xf>
    <xf numFmtId="9" fontId="79" fillId="8" borderId="26" xfId="3" applyFont="1" applyFill="1" applyBorder="1" applyAlignment="1">
      <alignment horizontal="center"/>
    </xf>
    <xf numFmtId="0" fontId="92" fillId="12" borderId="26" xfId="0" applyFont="1" applyFill="1" applyBorder="1"/>
    <xf numFmtId="0" fontId="99" fillId="10" borderId="26" xfId="0" applyFont="1" applyFill="1" applyBorder="1" applyAlignment="1">
      <alignment horizontal="center"/>
    </xf>
    <xf numFmtId="0" fontId="99" fillId="10" borderId="26" xfId="0" applyFont="1" applyFill="1" applyBorder="1"/>
    <xf numFmtId="166" fontId="81" fillId="13" borderId="26" xfId="0" applyNumberFormat="1" applyFont="1" applyFill="1" applyBorder="1" applyAlignment="1">
      <alignment horizontal="center"/>
    </xf>
    <xf numFmtId="0" fontId="100" fillId="10" borderId="0" xfId="0" applyFont="1" applyFill="1" applyBorder="1" applyAlignment="1">
      <alignment horizontal="center"/>
    </xf>
    <xf numFmtId="166" fontId="79" fillId="13" borderId="26" xfId="0" applyNumberFormat="1" applyFont="1" applyFill="1" applyBorder="1" applyAlignment="1">
      <alignment horizontal="center"/>
    </xf>
    <xf numFmtId="166" fontId="81" fillId="13" borderId="26" xfId="0" applyNumberFormat="1" applyFont="1" applyFill="1" applyBorder="1" applyAlignment="1" applyProtection="1">
      <alignment horizontal="center"/>
      <protection hidden="1"/>
    </xf>
    <xf numFmtId="166" fontId="79" fillId="13" borderId="26" xfId="0" applyNumberFormat="1" applyFont="1" applyFill="1" applyBorder="1" applyAlignment="1" applyProtection="1">
      <alignment horizontal="center"/>
      <protection hidden="1"/>
    </xf>
    <xf numFmtId="0" fontId="57" fillId="14" borderId="26" xfId="0" applyFont="1" applyFill="1" applyBorder="1" applyAlignment="1" applyProtection="1">
      <alignment horizontal="center"/>
      <protection hidden="1"/>
    </xf>
    <xf numFmtId="0" fontId="101" fillId="10" borderId="26" xfId="0" applyFont="1" applyFill="1" applyBorder="1" applyAlignment="1" applyProtection="1">
      <alignment horizontal="center"/>
      <protection hidden="1"/>
    </xf>
    <xf numFmtId="166" fontId="15" fillId="10" borderId="0" xfId="0" applyNumberFormat="1" applyFont="1" applyFill="1" applyBorder="1" applyAlignment="1" applyProtection="1">
      <protection hidden="1"/>
    </xf>
    <xf numFmtId="0" fontId="102" fillId="13" borderId="0" xfId="0" applyFont="1" applyFill="1" applyBorder="1" applyAlignment="1"/>
    <xf numFmtId="166" fontId="4" fillId="0" borderId="26" xfId="0" applyNumberFormat="1" applyFont="1" applyFill="1" applyBorder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14" borderId="36" xfId="0" applyFill="1" applyBorder="1" applyAlignment="1">
      <alignment horizontal="center"/>
    </xf>
    <xf numFmtId="0" fontId="0" fillId="15" borderId="35" xfId="0" applyFill="1" applyBorder="1" applyAlignment="1">
      <alignment horizontal="center"/>
    </xf>
    <xf numFmtId="0" fontId="0" fillId="15" borderId="3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81" fillId="10" borderId="22" xfId="0" applyFont="1" applyFill="1" applyBorder="1" applyAlignment="1" applyProtection="1">
      <alignment horizontal="right"/>
      <protection hidden="1"/>
    </xf>
    <xf numFmtId="0" fontId="81" fillId="10" borderId="21" xfId="0" applyFont="1" applyFill="1" applyBorder="1" applyAlignment="1" applyProtection="1">
      <alignment horizontal="right"/>
      <protection hidden="1"/>
    </xf>
    <xf numFmtId="9" fontId="66" fillId="10" borderId="23" xfId="3" applyFont="1" applyFill="1" applyBorder="1" applyAlignment="1" applyProtection="1">
      <alignment horizontal="right"/>
      <protection hidden="1"/>
    </xf>
    <xf numFmtId="0" fontId="4" fillId="10" borderId="0" xfId="0" applyFont="1" applyFill="1" applyBorder="1" applyAlignment="1">
      <alignment horizontal="left"/>
    </xf>
    <xf numFmtId="0" fontId="81" fillId="10" borderId="0" xfId="0" applyFont="1" applyFill="1" applyBorder="1" applyAlignment="1" applyProtection="1">
      <alignment horizontal="center"/>
      <protection hidden="1"/>
    </xf>
    <xf numFmtId="0" fontId="4" fillId="10" borderId="0" xfId="0" applyFont="1" applyFill="1" applyBorder="1" applyAlignment="1">
      <alignment horizontal="right"/>
    </xf>
    <xf numFmtId="0" fontId="97" fillId="10" borderId="0" xfId="0" applyFont="1" applyFill="1" applyBorder="1" applyAlignment="1" applyProtection="1">
      <alignment horizontal="center" textRotation="90"/>
      <protection hidden="1"/>
    </xf>
    <xf numFmtId="0" fontId="72" fillId="10" borderId="0" xfId="0" applyFont="1" applyFill="1" applyBorder="1" applyAlignment="1" applyProtection="1">
      <alignment horizontal="center" textRotation="90"/>
      <protection hidden="1"/>
    </xf>
    <xf numFmtId="0" fontId="74" fillId="10" borderId="0" xfId="0" applyFont="1" applyFill="1" applyBorder="1" applyAlignment="1" applyProtection="1">
      <alignment horizontal="left"/>
      <protection hidden="1"/>
    </xf>
    <xf numFmtId="0" fontId="15" fillId="10" borderId="0" xfId="0" applyFont="1" applyFill="1" applyBorder="1" applyAlignment="1">
      <alignment horizontal="left"/>
    </xf>
    <xf numFmtId="0" fontId="32" fillId="10" borderId="0" xfId="0" applyFont="1" applyFill="1" applyBorder="1" applyAlignment="1">
      <alignment horizontal="left"/>
    </xf>
    <xf numFmtId="0" fontId="79" fillId="10" borderId="0" xfId="0" applyFont="1" applyFill="1" applyBorder="1" applyAlignment="1" applyProtection="1">
      <alignment horizontal="center"/>
      <protection hidden="1"/>
    </xf>
    <xf numFmtId="0" fontId="96" fillId="10" borderId="0" xfId="0" applyFont="1" applyFill="1" applyBorder="1" applyAlignment="1" applyProtection="1">
      <alignment horizontal="center" textRotation="90"/>
      <protection hidden="1"/>
    </xf>
    <xf numFmtId="0" fontId="96" fillId="10" borderId="0" xfId="0" applyFont="1" applyFill="1" applyBorder="1" applyAlignment="1" applyProtection="1">
      <alignment horizontal="center" vertical="top"/>
      <protection hidden="1"/>
    </xf>
    <xf numFmtId="0" fontId="72" fillId="10" borderId="0" xfId="0" quotePrefix="1" applyFont="1" applyFill="1" applyBorder="1" applyAlignment="1" applyProtection="1">
      <alignment horizontal="center" textRotation="90"/>
      <protection hidden="1"/>
    </xf>
    <xf numFmtId="0" fontId="66" fillId="10" borderId="23" xfId="0" applyFont="1" applyFill="1" applyBorder="1" applyAlignment="1" applyProtection="1">
      <alignment horizontal="right"/>
      <protection hidden="1"/>
    </xf>
    <xf numFmtId="22" fontId="4" fillId="13" borderId="35" xfId="0" applyNumberFormat="1" applyFont="1" applyFill="1" applyBorder="1" applyAlignment="1" applyProtection="1">
      <alignment horizontal="left"/>
      <protection hidden="1"/>
    </xf>
    <xf numFmtId="22" fontId="4" fillId="13" borderId="44" xfId="0" applyNumberFormat="1" applyFont="1" applyFill="1" applyBorder="1" applyAlignment="1" applyProtection="1">
      <alignment horizontal="left"/>
      <protection hidden="1"/>
    </xf>
    <xf numFmtId="22" fontId="4" fillId="13" borderId="36" xfId="0" applyNumberFormat="1" applyFont="1" applyFill="1" applyBorder="1" applyAlignment="1" applyProtection="1">
      <alignment horizontal="left"/>
      <protection hidden="1"/>
    </xf>
    <xf numFmtId="166" fontId="64" fillId="10" borderId="0" xfId="0" applyNumberFormat="1" applyFont="1" applyFill="1" applyBorder="1" applyAlignment="1" applyProtection="1">
      <alignment horizontal="center"/>
      <protection hidden="1"/>
    </xf>
    <xf numFmtId="0" fontId="81" fillId="10" borderId="22" xfId="0" applyFont="1" applyFill="1" applyBorder="1" applyAlignment="1">
      <alignment horizontal="center"/>
    </xf>
    <xf numFmtId="0" fontId="81" fillId="10" borderId="21" xfId="0" applyFont="1" applyFill="1" applyBorder="1" applyAlignment="1">
      <alignment horizontal="center"/>
    </xf>
    <xf numFmtId="0" fontId="15" fillId="10" borderId="0" xfId="0" applyFont="1" applyFill="1" applyBorder="1" applyAlignment="1" applyProtection="1">
      <alignment horizontal="left"/>
      <protection hidden="1"/>
    </xf>
    <xf numFmtId="166" fontId="74" fillId="10" borderId="0" xfId="0" applyNumberFormat="1" applyFont="1" applyFill="1" applyBorder="1" applyAlignment="1" applyProtection="1">
      <alignment horizontal="left"/>
      <protection hidden="1"/>
    </xf>
    <xf numFmtId="0" fontId="15" fillId="10" borderId="0" xfId="0" applyFont="1" applyFill="1" applyBorder="1" applyAlignment="1" applyProtection="1">
      <alignment textRotation="90"/>
      <protection hidden="1"/>
    </xf>
    <xf numFmtId="0" fontId="90" fillId="10" borderId="0" xfId="0" applyFont="1" applyFill="1" applyBorder="1" applyAlignment="1" applyProtection="1">
      <alignment horizontal="center"/>
      <protection hidden="1"/>
    </xf>
    <xf numFmtId="0" fontId="90" fillId="10" borderId="0" xfId="0" quotePrefix="1" applyFont="1" applyFill="1" applyBorder="1" applyAlignment="1" applyProtection="1">
      <alignment horizontal="center"/>
      <protection hidden="1"/>
    </xf>
    <xf numFmtId="0" fontId="53" fillId="10" borderId="0" xfId="0" applyFont="1" applyFill="1" applyBorder="1" applyAlignment="1" applyProtection="1">
      <alignment horizontal="center"/>
      <protection hidden="1"/>
    </xf>
    <xf numFmtId="0" fontId="32" fillId="10" borderId="0" xfId="0" applyFont="1" applyFill="1" applyBorder="1" applyAlignment="1" applyProtection="1">
      <alignment textRotation="90"/>
      <protection hidden="1"/>
    </xf>
    <xf numFmtId="0" fontId="37" fillId="10" borderId="0" xfId="0" applyFont="1" applyFill="1" applyBorder="1" applyAlignment="1" applyProtection="1">
      <alignment textRotation="90"/>
      <protection hidden="1"/>
    </xf>
    <xf numFmtId="0" fontId="68" fillId="10" borderId="0" xfId="0" applyFont="1" applyFill="1" applyBorder="1" applyAlignment="1" applyProtection="1">
      <alignment horizontal="center" textRotation="90"/>
      <protection hidden="1"/>
    </xf>
    <xf numFmtId="0" fontId="68" fillId="10" borderId="0" xfId="0" applyFont="1" applyFill="1" applyBorder="1" applyAlignment="1" applyProtection="1">
      <alignment horizontal="center" vertical="top" textRotation="90"/>
      <protection hidden="1"/>
    </xf>
    <xf numFmtId="0" fontId="13" fillId="10" borderId="0" xfId="0" applyFont="1" applyFill="1" applyBorder="1" applyAlignment="1" applyProtection="1">
      <alignment horizontal="center" textRotation="90"/>
      <protection hidden="1"/>
    </xf>
    <xf numFmtId="0" fontId="68" fillId="10" borderId="0" xfId="0" applyFont="1" applyFill="1" applyBorder="1" applyAlignment="1" applyProtection="1">
      <alignment horizontal="center" vertical="center"/>
      <protection hidden="1"/>
    </xf>
    <xf numFmtId="0" fontId="100" fillId="10" borderId="22" xfId="0" applyFont="1" applyFill="1" applyBorder="1" applyAlignment="1">
      <alignment horizontal="center"/>
    </xf>
    <xf numFmtId="0" fontId="100" fillId="10" borderId="21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left"/>
    </xf>
    <xf numFmtId="0" fontId="4" fillId="10" borderId="44" xfId="0" applyFont="1" applyFill="1" applyBorder="1" applyAlignment="1">
      <alignment horizontal="left"/>
    </xf>
    <xf numFmtId="0" fontId="4" fillId="10" borderId="36" xfId="0" applyFont="1" applyFill="1" applyBorder="1" applyAlignment="1">
      <alignment horizontal="left"/>
    </xf>
    <xf numFmtId="166" fontId="88" fillId="8" borderId="44" xfId="0" applyNumberFormat="1" applyFont="1" applyFill="1" applyBorder="1" applyAlignment="1">
      <alignment horizontal="right"/>
    </xf>
    <xf numFmtId="0" fontId="78" fillId="10" borderId="32" xfId="0" applyFont="1" applyFill="1" applyBorder="1" applyAlignment="1" applyProtection="1">
      <alignment horizontal="center" vertical="center"/>
      <protection hidden="1"/>
    </xf>
    <xf numFmtId="0" fontId="0" fillId="8" borderId="35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28" fillId="10" borderId="22" xfId="0" applyFont="1" applyFill="1" applyBorder="1" applyAlignment="1" applyProtection="1">
      <alignment horizontal="left"/>
      <protection hidden="1"/>
    </xf>
    <xf numFmtId="0" fontId="28" fillId="10" borderId="0" xfId="0" applyFont="1" applyFill="1" applyBorder="1" applyAlignment="1" applyProtection="1">
      <alignment horizontal="left"/>
      <protection hidden="1"/>
    </xf>
    <xf numFmtId="171" fontId="66" fillId="10" borderId="35" xfId="0" applyNumberFormat="1" applyFont="1" applyFill="1" applyBorder="1" applyAlignment="1" applyProtection="1">
      <alignment horizontal="center"/>
      <protection hidden="1"/>
    </xf>
    <xf numFmtId="171" fontId="66" fillId="10" borderId="36" xfId="0" applyNumberFormat="1" applyFont="1" applyFill="1" applyBorder="1" applyAlignment="1" applyProtection="1">
      <alignment horizontal="center"/>
      <protection hidden="1"/>
    </xf>
    <xf numFmtId="0" fontId="74" fillId="10" borderId="22" xfId="0" quotePrefix="1" applyFont="1" applyFill="1" applyBorder="1" applyAlignment="1" applyProtection="1">
      <alignment horizontal="left"/>
      <protection hidden="1"/>
    </xf>
    <xf numFmtId="0" fontId="74" fillId="10" borderId="0" xfId="0" quotePrefix="1" applyFont="1" applyFill="1" applyBorder="1" applyAlignment="1" applyProtection="1">
      <alignment horizontal="left"/>
      <protection hidden="1"/>
    </xf>
    <xf numFmtId="0" fontId="4" fillId="13" borderId="35" xfId="0" applyFont="1" applyFill="1" applyBorder="1" applyAlignment="1">
      <alignment horizontal="left"/>
    </xf>
    <xf numFmtId="0" fontId="4" fillId="13" borderId="36" xfId="0" applyFont="1" applyFill="1" applyBorder="1" applyAlignment="1">
      <alignment horizontal="left"/>
    </xf>
    <xf numFmtId="0" fontId="27" fillId="10" borderId="32" xfId="0" applyFont="1" applyFill="1" applyBorder="1" applyAlignment="1">
      <alignment horizontal="center"/>
    </xf>
    <xf numFmtId="0" fontId="103" fillId="13" borderId="35" xfId="0" applyNumberFormat="1" applyFont="1" applyFill="1" applyBorder="1" applyAlignment="1">
      <alignment horizontal="left"/>
    </xf>
    <xf numFmtId="0" fontId="103" fillId="13" borderId="36" xfId="0" applyNumberFormat="1" applyFont="1" applyFill="1" applyBorder="1" applyAlignment="1">
      <alignment horizontal="left"/>
    </xf>
    <xf numFmtId="166" fontId="66" fillId="10" borderId="35" xfId="0" applyNumberFormat="1" applyFont="1" applyFill="1" applyBorder="1" applyAlignment="1">
      <alignment horizontal="center"/>
    </xf>
    <xf numFmtId="166" fontId="66" fillId="10" borderId="36" xfId="0" applyNumberFormat="1" applyFont="1" applyFill="1" applyBorder="1" applyAlignment="1">
      <alignment horizontal="center"/>
    </xf>
    <xf numFmtId="171" fontId="66" fillId="10" borderId="35" xfId="1" applyNumberFormat="1" applyFont="1" applyFill="1" applyBorder="1" applyAlignment="1" applyProtection="1">
      <alignment horizontal="center"/>
      <protection hidden="1"/>
    </xf>
    <xf numFmtId="171" fontId="66" fillId="10" borderId="36" xfId="1" applyNumberFormat="1" applyFont="1" applyFill="1" applyBorder="1" applyAlignment="1" applyProtection="1">
      <alignment horizontal="center"/>
      <protection hidden="1"/>
    </xf>
    <xf numFmtId="0" fontId="95" fillId="10" borderId="0" xfId="0" applyFont="1" applyFill="1" applyBorder="1" applyAlignment="1" applyProtection="1">
      <alignment horizontal="center" textRotation="90"/>
      <protection hidden="1"/>
    </xf>
    <xf numFmtId="0" fontId="27" fillId="10" borderId="0" xfId="0" applyFont="1" applyFill="1" applyBorder="1" applyAlignment="1" applyProtection="1">
      <alignment horizontal="center" vertical="center"/>
      <protection hidden="1"/>
    </xf>
    <xf numFmtId="0" fontId="5" fillId="13" borderId="35" xfId="0" quotePrefix="1" applyFont="1" applyFill="1" applyBorder="1" applyAlignment="1">
      <alignment horizontal="left"/>
    </xf>
    <xf numFmtId="0" fontId="5" fillId="13" borderId="44" xfId="0" applyFont="1" applyFill="1" applyBorder="1" applyAlignment="1">
      <alignment horizontal="left"/>
    </xf>
    <xf numFmtId="0" fontId="5" fillId="13" borderId="36" xfId="0" applyFont="1" applyFill="1" applyBorder="1" applyAlignment="1">
      <alignment horizontal="left"/>
    </xf>
    <xf numFmtId="2" fontId="5" fillId="10" borderId="0" xfId="0" applyNumberFormat="1" applyFont="1" applyFill="1" applyBorder="1" applyAlignment="1" applyProtection="1">
      <protection hidden="1"/>
    </xf>
    <xf numFmtId="0" fontId="39" fillId="10" borderId="0" xfId="0" applyFont="1" applyFill="1" applyBorder="1" applyAlignment="1" applyProtection="1">
      <alignment vertical="top" textRotation="180"/>
      <protection hidden="1"/>
    </xf>
    <xf numFmtId="0" fontId="39" fillId="10" borderId="0" xfId="0" applyFont="1" applyFill="1" applyBorder="1" applyAlignment="1" applyProtection="1">
      <alignment horizontal="center"/>
      <protection hidden="1"/>
    </xf>
    <xf numFmtId="0" fontId="19" fillId="10" borderId="0" xfId="0" applyFont="1" applyFill="1" applyBorder="1" applyAlignment="1" applyProtection="1">
      <alignment horizontal="center" textRotation="90"/>
      <protection hidden="1"/>
    </xf>
    <xf numFmtId="0" fontId="79" fillId="10" borderId="0" xfId="0" applyFont="1" applyFill="1" applyBorder="1" applyAlignment="1" applyProtection="1">
      <alignment horizontal="center" vertical="center" textRotation="90"/>
      <protection hidden="1"/>
    </xf>
    <xf numFmtId="0" fontId="15" fillId="13" borderId="35" xfId="0" applyFont="1" applyFill="1" applyBorder="1" applyAlignment="1">
      <alignment horizontal="left"/>
    </xf>
    <xf numFmtId="0" fontId="15" fillId="13" borderId="44" xfId="0" applyFont="1" applyFill="1" applyBorder="1" applyAlignment="1">
      <alignment horizontal="left"/>
    </xf>
    <xf numFmtId="0" fontId="15" fillId="13" borderId="36" xfId="0" applyFont="1" applyFill="1" applyBorder="1" applyAlignment="1">
      <alignment horizontal="left"/>
    </xf>
    <xf numFmtId="0" fontId="77" fillId="14" borderId="0" xfId="0" applyFont="1" applyFill="1" applyBorder="1" applyAlignment="1" applyProtection="1">
      <alignment horizontal="left"/>
      <protection hidden="1"/>
    </xf>
    <xf numFmtId="166" fontId="87" fillId="10" borderId="0" xfId="0" applyNumberFormat="1" applyFont="1" applyFill="1" applyBorder="1" applyAlignment="1" applyProtection="1">
      <alignment horizontal="left"/>
      <protection hidden="1"/>
    </xf>
    <xf numFmtId="166" fontId="63" fillId="10" borderId="0" xfId="0" applyNumberFormat="1" applyFont="1" applyFill="1" applyBorder="1" applyAlignment="1" applyProtection="1">
      <alignment horizontal="left"/>
      <protection hidden="1"/>
    </xf>
    <xf numFmtId="0" fontId="18" fillId="10" borderId="23" xfId="0" quotePrefix="1" applyFont="1" applyFill="1" applyBorder="1" applyAlignment="1">
      <alignment horizontal="left"/>
    </xf>
    <xf numFmtId="0" fontId="18" fillId="10" borderId="23" xfId="0" applyFont="1" applyFill="1" applyBorder="1" applyAlignment="1">
      <alignment horizontal="left"/>
    </xf>
    <xf numFmtId="0" fontId="18" fillId="10" borderId="0" xfId="0" quotePrefix="1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3" fillId="10" borderId="0" xfId="0" applyFont="1" applyFill="1" applyBorder="1" applyAlignment="1" applyProtection="1">
      <alignment horizontal="left"/>
      <protection hidden="1"/>
    </xf>
    <xf numFmtId="0" fontId="69" fillId="10" borderId="0" xfId="0" applyFont="1" applyFill="1" applyBorder="1" applyAlignment="1" applyProtection="1">
      <alignment horizontal="left"/>
      <protection hidden="1"/>
    </xf>
    <xf numFmtId="0" fontId="18" fillId="10" borderId="0" xfId="0" quotePrefix="1" applyFont="1" applyFill="1" applyBorder="1" applyAlignment="1" applyProtection="1">
      <alignment horizontal="left"/>
      <protection hidden="1"/>
    </xf>
    <xf numFmtId="0" fontId="18" fillId="10" borderId="0" xfId="0" applyFont="1" applyFill="1" applyBorder="1" applyAlignment="1" applyProtection="1">
      <alignment horizontal="left"/>
      <protection hidden="1"/>
    </xf>
    <xf numFmtId="2" fontId="71" fillId="10" borderId="0" xfId="0" applyNumberFormat="1" applyFont="1" applyFill="1" applyBorder="1" applyAlignment="1" applyProtection="1">
      <protection hidden="1"/>
    </xf>
    <xf numFmtId="0" fontId="3" fillId="10" borderId="0" xfId="0" applyFont="1" applyFill="1" applyBorder="1" applyAlignment="1">
      <alignment horizontal="center"/>
    </xf>
    <xf numFmtId="0" fontId="10" fillId="8" borderId="0" xfId="0" applyFont="1" applyFill="1" applyAlignment="1">
      <alignment horizontal="left"/>
    </xf>
    <xf numFmtId="0" fontId="18" fillId="10" borderId="0" xfId="0" quotePrefix="1" applyFont="1" applyFill="1" applyBorder="1" applyAlignment="1" applyProtection="1">
      <alignment horizontal="right" textRotation="90"/>
      <protection hidden="1"/>
    </xf>
    <xf numFmtId="0" fontId="4" fillId="8" borderId="0" xfId="0" applyFont="1" applyFill="1" applyAlignment="1">
      <alignment horizontal="left"/>
    </xf>
    <xf numFmtId="0" fontId="20" fillId="10" borderId="0" xfId="0" quotePrefix="1" applyFont="1" applyFill="1" applyBorder="1" applyAlignment="1" applyProtection="1">
      <alignment horizontal="center" textRotation="90"/>
      <protection hidden="1"/>
    </xf>
    <xf numFmtId="0" fontId="79" fillId="10" borderId="0" xfId="0" applyFont="1" applyFill="1" applyBorder="1" applyAlignment="1" applyProtection="1">
      <alignment horizontal="center" textRotation="90"/>
      <protection hidden="1"/>
    </xf>
    <xf numFmtId="0" fontId="20" fillId="10" borderId="0" xfId="0" applyFont="1" applyFill="1" applyBorder="1" applyAlignment="1" applyProtection="1">
      <alignment horizontal="center" textRotation="90"/>
      <protection hidden="1"/>
    </xf>
    <xf numFmtId="0" fontId="21" fillId="10" borderId="0" xfId="0" applyFont="1" applyFill="1" applyBorder="1" applyAlignment="1" applyProtection="1">
      <alignment horizontal="center" textRotation="90"/>
      <protection hidden="1"/>
    </xf>
    <xf numFmtId="0" fontId="2" fillId="10" borderId="23" xfId="0" applyFont="1" applyFill="1" applyBorder="1" applyAlignment="1">
      <alignment horizontal="left"/>
    </xf>
    <xf numFmtId="0" fontId="2" fillId="10" borderId="34" xfId="0" applyFont="1" applyFill="1" applyBorder="1" applyAlignment="1">
      <alignment horizontal="left"/>
    </xf>
    <xf numFmtId="0" fontId="2" fillId="10" borderId="32" xfId="0" applyFont="1" applyFill="1" applyBorder="1" applyAlignment="1">
      <alignment horizontal="left"/>
    </xf>
    <xf numFmtId="0" fontId="2" fillId="10" borderId="33" xfId="0" applyFont="1" applyFill="1" applyBorder="1" applyAlignment="1">
      <alignment horizontal="left"/>
    </xf>
    <xf numFmtId="0" fontId="51" fillId="10" borderId="22" xfId="0" applyFont="1" applyFill="1" applyBorder="1" applyAlignment="1">
      <alignment horizontal="left"/>
    </xf>
    <xf numFmtId="0" fontId="51" fillId="10" borderId="0" xfId="0" applyFont="1" applyFill="1" applyBorder="1" applyAlignment="1">
      <alignment horizontal="left"/>
    </xf>
    <xf numFmtId="0" fontId="44" fillId="10" borderId="22" xfId="0" applyFont="1" applyFill="1" applyBorder="1" applyAlignment="1" applyProtection="1">
      <alignment horizontal="center"/>
      <protection hidden="1"/>
    </xf>
    <xf numFmtId="0" fontId="44" fillId="10" borderId="0" xfId="0" applyFont="1" applyFill="1" applyBorder="1" applyAlignment="1" applyProtection="1">
      <alignment horizontal="center"/>
      <protection hidden="1"/>
    </xf>
    <xf numFmtId="0" fontId="44" fillId="10" borderId="21" xfId="0" applyFont="1" applyFill="1" applyBorder="1" applyAlignment="1" applyProtection="1">
      <alignment horizontal="center"/>
      <protection hidden="1"/>
    </xf>
    <xf numFmtId="0" fontId="62" fillId="10" borderId="22" xfId="0" applyFont="1" applyFill="1" applyBorder="1" applyAlignment="1" applyProtection="1">
      <alignment horizontal="center" vertical="center"/>
      <protection hidden="1"/>
    </xf>
    <xf numFmtId="0" fontId="62" fillId="10" borderId="0" xfId="0" applyFont="1" applyFill="1" applyBorder="1" applyAlignment="1" applyProtection="1">
      <alignment horizontal="center" vertical="center"/>
      <protection hidden="1"/>
    </xf>
    <xf numFmtId="0" fontId="62" fillId="10" borderId="21" xfId="0" applyFont="1" applyFill="1" applyBorder="1" applyAlignment="1" applyProtection="1">
      <alignment horizontal="center" vertical="center"/>
      <protection hidden="1"/>
    </xf>
    <xf numFmtId="0" fontId="26" fillId="10" borderId="35" xfId="0" applyFont="1" applyFill="1" applyBorder="1" applyAlignment="1">
      <alignment horizontal="center"/>
    </xf>
    <xf numFmtId="0" fontId="28" fillId="10" borderId="36" xfId="0" applyFont="1" applyFill="1" applyBorder="1" applyAlignment="1">
      <alignment horizontal="center"/>
    </xf>
    <xf numFmtId="0" fontId="15" fillId="10" borderId="22" xfId="0" applyFont="1" applyFill="1" applyBorder="1" applyAlignment="1" applyProtection="1">
      <alignment horizontal="left"/>
      <protection hidden="1"/>
    </xf>
    <xf numFmtId="0" fontId="6" fillId="10" borderId="22" xfId="0" applyFont="1" applyFill="1" applyBorder="1" applyAlignment="1" applyProtection="1">
      <alignment horizontal="center"/>
      <protection hidden="1"/>
    </xf>
    <xf numFmtId="0" fontId="6" fillId="10" borderId="0" xfId="0" applyFont="1" applyFill="1" applyBorder="1" applyAlignment="1" applyProtection="1">
      <alignment horizontal="center"/>
      <protection hidden="1"/>
    </xf>
    <xf numFmtId="0" fontId="6" fillId="10" borderId="21" xfId="0" applyFont="1" applyFill="1" applyBorder="1" applyAlignment="1" applyProtection="1">
      <alignment horizontal="center"/>
      <protection hidden="1"/>
    </xf>
    <xf numFmtId="0" fontId="61" fillId="10" borderId="0" xfId="0" applyFont="1" applyFill="1" applyBorder="1" applyAlignment="1">
      <alignment horizontal="left"/>
    </xf>
    <xf numFmtId="3" fontId="18" fillId="8" borderId="0" xfId="0" applyNumberFormat="1" applyFont="1" applyFill="1" applyAlignment="1">
      <alignment horizontal="left"/>
    </xf>
    <xf numFmtId="3" fontId="19" fillId="8" borderId="0" xfId="0" applyNumberFormat="1" applyFont="1" applyFill="1" applyAlignment="1">
      <alignment horizontal="left"/>
    </xf>
    <xf numFmtId="166" fontId="81" fillId="13" borderId="44" xfId="0" applyNumberFormat="1" applyFont="1" applyFill="1" applyBorder="1" applyAlignment="1" applyProtection="1">
      <alignment horizontal="left"/>
      <protection hidden="1"/>
    </xf>
    <xf numFmtId="166" fontId="81" fillId="13" borderId="36" xfId="0" applyNumberFormat="1" applyFont="1" applyFill="1" applyBorder="1" applyAlignment="1" applyProtection="1">
      <alignment horizontal="left"/>
      <protection hidden="1"/>
    </xf>
    <xf numFmtId="2" fontId="85" fillId="16" borderId="35" xfId="2" applyNumberFormat="1" applyFont="1" applyFill="1" applyBorder="1" applyAlignment="1">
      <alignment horizontal="right"/>
    </xf>
    <xf numFmtId="2" fontId="85" fillId="16" borderId="44" xfId="2" applyNumberFormat="1" applyFont="1" applyFill="1" applyBorder="1" applyAlignment="1">
      <alignment horizontal="right"/>
    </xf>
    <xf numFmtId="0" fontId="81" fillId="13" borderId="44" xfId="0" applyFont="1" applyFill="1" applyBorder="1" applyAlignment="1">
      <alignment horizontal="left"/>
    </xf>
    <xf numFmtId="0" fontId="81" fillId="13" borderId="36" xfId="0" applyFont="1" applyFill="1" applyBorder="1" applyAlignment="1">
      <alignment horizontal="left"/>
    </xf>
    <xf numFmtId="0" fontId="4" fillId="13" borderId="44" xfId="0" applyFont="1" applyFill="1" applyBorder="1" applyAlignment="1" applyProtection="1">
      <alignment horizontal="left"/>
      <protection hidden="1"/>
    </xf>
    <xf numFmtId="0" fontId="4" fillId="13" borderId="36" xfId="0" applyFont="1" applyFill="1" applyBorder="1" applyAlignment="1" applyProtection="1">
      <alignment horizontal="left"/>
      <protection hidden="1"/>
    </xf>
    <xf numFmtId="2" fontId="85" fillId="16" borderId="35" xfId="0" applyNumberFormat="1" applyFont="1" applyFill="1" applyBorder="1" applyAlignment="1">
      <alignment horizontal="right"/>
    </xf>
    <xf numFmtId="2" fontId="85" fillId="16" borderId="44" xfId="0" applyNumberFormat="1" applyFont="1" applyFill="1" applyBorder="1" applyAlignment="1">
      <alignment horizontal="right"/>
    </xf>
    <xf numFmtId="0" fontId="81" fillId="10" borderId="0" xfId="0" applyFont="1" applyFill="1" applyBorder="1" applyAlignment="1" applyProtection="1">
      <alignment horizontal="left"/>
      <protection hidden="1"/>
    </xf>
    <xf numFmtId="171" fontId="81" fillId="10" borderId="35" xfId="0" applyNumberFormat="1" applyFont="1" applyFill="1" applyBorder="1" applyAlignment="1" applyProtection="1">
      <alignment horizontal="left"/>
      <protection hidden="1"/>
    </xf>
    <xf numFmtId="171" fontId="81" fillId="10" borderId="44" xfId="0" applyNumberFormat="1" applyFont="1" applyFill="1" applyBorder="1" applyAlignment="1" applyProtection="1">
      <alignment horizontal="left"/>
      <protection hidden="1"/>
    </xf>
    <xf numFmtId="171" fontId="81" fillId="10" borderId="36" xfId="0" applyNumberFormat="1" applyFont="1" applyFill="1" applyBorder="1" applyAlignment="1" applyProtection="1">
      <alignment horizontal="left"/>
      <protection hidden="1"/>
    </xf>
    <xf numFmtId="166" fontId="66" fillId="10" borderId="0" xfId="0" applyNumberFormat="1" applyFont="1" applyFill="1" applyBorder="1" applyAlignment="1" applyProtection="1">
      <alignment horizontal="left"/>
      <protection hidden="1"/>
    </xf>
    <xf numFmtId="2" fontId="71" fillId="10" borderId="23" xfId="0" applyNumberFormat="1" applyFont="1" applyFill="1" applyBorder="1" applyAlignment="1"/>
    <xf numFmtId="2" fontId="71" fillId="10" borderId="0" xfId="0" applyNumberFormat="1" applyFont="1" applyFill="1" applyBorder="1" applyAlignment="1"/>
    <xf numFmtId="0" fontId="95" fillId="10" borderId="0" xfId="0" applyFont="1" applyFill="1" applyBorder="1" applyAlignment="1" applyProtection="1">
      <alignment horizontal="left" vertical="center"/>
      <protection hidden="1"/>
    </xf>
    <xf numFmtId="166" fontId="85" fillId="8" borderId="44" xfId="0" applyNumberFormat="1" applyFont="1" applyFill="1" applyBorder="1" applyAlignment="1">
      <alignment horizontal="right"/>
    </xf>
    <xf numFmtId="166" fontId="66" fillId="10" borderId="0" xfId="0" applyNumberFormat="1" applyFont="1" applyFill="1" applyBorder="1" applyAlignment="1" applyProtection="1">
      <alignment horizontal="center"/>
      <protection hidden="1"/>
    </xf>
    <xf numFmtId="0" fontId="4" fillId="10" borderId="0" xfId="0" applyFont="1" applyFill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164" fontId="4" fillId="8" borderId="0" xfId="2" applyNumberFormat="1" applyFont="1" applyFill="1" applyAlignment="1"/>
    <xf numFmtId="164" fontId="4" fillId="8" borderId="0" xfId="2" applyNumberFormat="1" applyFont="1" applyFill="1" applyAlignment="1">
      <alignment horizontal="left"/>
    </xf>
    <xf numFmtId="164" fontId="4" fillId="8" borderId="0" xfId="2" applyFont="1" applyFill="1" applyAlignment="1"/>
    <xf numFmtId="0" fontId="18" fillId="8" borderId="0" xfId="0" applyFont="1" applyFill="1" applyAlignment="1">
      <alignment horizontal="left"/>
    </xf>
    <xf numFmtId="164" fontId="18" fillId="8" borderId="0" xfId="2" applyFont="1" applyFill="1" applyAlignment="1">
      <alignment horizontal="left"/>
    </xf>
    <xf numFmtId="164" fontId="19" fillId="8" borderId="0" xfId="2" applyFont="1" applyFill="1" applyAlignment="1">
      <alignment horizontal="left"/>
    </xf>
    <xf numFmtId="166" fontId="64" fillId="10" borderId="0" xfId="2" applyNumberFormat="1" applyFont="1" applyFill="1" applyBorder="1" applyAlignment="1" applyProtection="1">
      <alignment horizontal="center"/>
      <protection hidden="1"/>
    </xf>
    <xf numFmtId="166" fontId="64" fillId="10" borderId="0" xfId="0" applyNumberFormat="1" applyFont="1" applyFill="1" applyBorder="1" applyAlignment="1" applyProtection="1">
      <protection hidden="1"/>
    </xf>
    <xf numFmtId="0" fontId="64" fillId="10" borderId="0" xfId="0" applyFont="1" applyFill="1" applyBorder="1" applyAlignment="1" applyProtection="1">
      <alignment horizontal="center"/>
      <protection hidden="1"/>
    </xf>
    <xf numFmtId="0" fontId="64" fillId="10" borderId="0" xfId="0" applyFont="1" applyFill="1" applyBorder="1" applyAlignment="1">
      <alignment horizontal="left"/>
    </xf>
    <xf numFmtId="166" fontId="64" fillId="10" borderId="23" xfId="0" applyNumberFormat="1" applyFont="1" applyFill="1" applyBorder="1" applyAlignment="1" applyProtection="1">
      <alignment horizontal="center"/>
      <protection hidden="1"/>
    </xf>
    <xf numFmtId="166" fontId="74" fillId="10" borderId="0" xfId="1" applyNumberFormat="1" applyFont="1" applyFill="1" applyBorder="1" applyAlignment="1" applyProtection="1">
      <alignment horizontal="center"/>
      <protection hidden="1"/>
    </xf>
    <xf numFmtId="0" fontId="27" fillId="10" borderId="0" xfId="0" applyFont="1" applyFill="1" applyBorder="1" applyAlignment="1" applyProtection="1">
      <alignment horizontal="center" textRotation="90"/>
      <protection hidden="1"/>
    </xf>
    <xf numFmtId="0" fontId="15" fillId="10" borderId="21" xfId="0" applyFont="1" applyFill="1" applyBorder="1" applyAlignment="1">
      <alignment horizontal="left"/>
    </xf>
    <xf numFmtId="0" fontId="4" fillId="10" borderId="21" xfId="0" applyFont="1" applyFill="1" applyBorder="1" applyAlignment="1">
      <alignment horizontal="left"/>
    </xf>
    <xf numFmtId="0" fontId="86" fillId="10" borderId="0" xfId="0" applyFont="1" applyFill="1" applyBorder="1" applyAlignment="1" applyProtection="1">
      <alignment horizontal="right"/>
      <protection hidden="1"/>
    </xf>
    <xf numFmtId="0" fontId="58" fillId="10" borderId="0" xfId="0" applyFont="1" applyFill="1" applyBorder="1" applyAlignment="1">
      <alignment horizontal="left"/>
    </xf>
    <xf numFmtId="0" fontId="58" fillId="10" borderId="21" xfId="0" applyFont="1" applyFill="1" applyBorder="1" applyAlignment="1">
      <alignment horizontal="left"/>
    </xf>
    <xf numFmtId="0" fontId="74" fillId="10" borderId="0" xfId="0" applyFont="1" applyFill="1" applyBorder="1" applyAlignment="1" applyProtection="1">
      <alignment horizontal="center"/>
      <protection hidden="1"/>
    </xf>
    <xf numFmtId="0" fontId="68" fillId="10" borderId="0" xfId="0" applyFont="1" applyFill="1" applyBorder="1" applyAlignment="1" applyProtection="1">
      <alignment horizontal="center"/>
      <protection hidden="1"/>
    </xf>
    <xf numFmtId="0" fontId="81" fillId="13" borderId="22" xfId="0" applyFont="1" applyFill="1" applyBorder="1" applyAlignment="1">
      <alignment horizontal="left"/>
    </xf>
    <xf numFmtId="0" fontId="81" fillId="13" borderId="0" xfId="0" applyFont="1" applyFill="1" applyBorder="1" applyAlignment="1">
      <alignment horizontal="left"/>
    </xf>
    <xf numFmtId="166" fontId="15" fillId="10" borderId="0" xfId="0" applyNumberFormat="1" applyFont="1" applyFill="1" applyBorder="1" applyAlignment="1" applyProtection="1">
      <alignment horizontal="right"/>
      <protection hidden="1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111111"/>
      <color rgb="FFD2A000"/>
      <color rgb="FFFF99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23</xdr:row>
      <xdr:rowOff>76200</xdr:rowOff>
    </xdr:from>
    <xdr:to>
      <xdr:col>28</xdr:col>
      <xdr:colOff>171450</xdr:colOff>
      <xdr:row>23</xdr:row>
      <xdr:rowOff>76200</xdr:rowOff>
    </xdr:to>
    <xdr:sp macro="" textlink="">
      <xdr:nvSpPr>
        <xdr:cNvPr id="15043" name="Line 110"/>
        <xdr:cNvSpPr>
          <a:spLocks noChangeShapeType="1"/>
        </xdr:cNvSpPr>
      </xdr:nvSpPr>
      <xdr:spPr bwMode="auto">
        <a:xfrm>
          <a:off x="4714875" y="272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23</xdr:row>
      <xdr:rowOff>142875</xdr:rowOff>
    </xdr:from>
    <xdr:to>
      <xdr:col>28</xdr:col>
      <xdr:colOff>190500</xdr:colOff>
      <xdr:row>23</xdr:row>
      <xdr:rowOff>142875</xdr:rowOff>
    </xdr:to>
    <xdr:sp macro="" textlink="">
      <xdr:nvSpPr>
        <xdr:cNvPr id="15044" name="Line 111"/>
        <xdr:cNvSpPr>
          <a:spLocks noChangeShapeType="1"/>
        </xdr:cNvSpPr>
      </xdr:nvSpPr>
      <xdr:spPr bwMode="auto">
        <a:xfrm>
          <a:off x="4714875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9525</xdr:colOff>
      <xdr:row>9</xdr:row>
      <xdr:rowOff>19050</xdr:rowOff>
    </xdr:from>
    <xdr:to>
      <xdr:col>40</xdr:col>
      <xdr:colOff>9525</xdr:colOff>
      <xdr:row>14</xdr:row>
      <xdr:rowOff>66675</xdr:rowOff>
    </xdr:to>
    <xdr:sp macro="" textlink="">
      <xdr:nvSpPr>
        <xdr:cNvPr id="15045" name="Line 121"/>
        <xdr:cNvSpPr>
          <a:spLocks noChangeShapeType="1"/>
        </xdr:cNvSpPr>
      </xdr:nvSpPr>
      <xdr:spPr bwMode="auto">
        <a:xfrm flipV="1">
          <a:off x="6343650" y="10001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57150</xdr:colOff>
      <xdr:row>22</xdr:row>
      <xdr:rowOff>76200</xdr:rowOff>
    </xdr:from>
    <xdr:to>
      <xdr:col>28</xdr:col>
      <xdr:colOff>171450</xdr:colOff>
      <xdr:row>22</xdr:row>
      <xdr:rowOff>76200</xdr:rowOff>
    </xdr:to>
    <xdr:sp macro="" textlink="">
      <xdr:nvSpPr>
        <xdr:cNvPr id="15051" name="Line 256"/>
        <xdr:cNvSpPr>
          <a:spLocks noChangeShapeType="1"/>
        </xdr:cNvSpPr>
      </xdr:nvSpPr>
      <xdr:spPr bwMode="auto">
        <a:xfrm>
          <a:off x="4714875" y="257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22</xdr:row>
      <xdr:rowOff>142875</xdr:rowOff>
    </xdr:from>
    <xdr:to>
      <xdr:col>28</xdr:col>
      <xdr:colOff>190500</xdr:colOff>
      <xdr:row>22</xdr:row>
      <xdr:rowOff>142875</xdr:rowOff>
    </xdr:to>
    <xdr:sp macro="" textlink="">
      <xdr:nvSpPr>
        <xdr:cNvPr id="15052" name="Line 257"/>
        <xdr:cNvSpPr>
          <a:spLocks noChangeShapeType="1"/>
        </xdr:cNvSpPr>
      </xdr:nvSpPr>
      <xdr:spPr bwMode="auto">
        <a:xfrm>
          <a:off x="4714875" y="263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53341</xdr:colOff>
      <xdr:row>28</xdr:row>
      <xdr:rowOff>30478</xdr:rowOff>
    </xdr:from>
    <xdr:to>
      <xdr:col>9</xdr:col>
      <xdr:colOff>131445</xdr:colOff>
      <xdr:row>28</xdr:row>
      <xdr:rowOff>144779</xdr:rowOff>
    </xdr:to>
    <xdr:sp macro="" textlink="">
      <xdr:nvSpPr>
        <xdr:cNvPr id="15055" name="AutoShape 294"/>
        <xdr:cNvSpPr>
          <a:spLocks noChangeArrowheads="1"/>
        </xdr:cNvSpPr>
      </xdr:nvSpPr>
      <xdr:spPr bwMode="auto">
        <a:xfrm flipV="1">
          <a:off x="2232661" y="3314698"/>
          <a:ext cx="78104" cy="114301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28</xdr:row>
      <xdr:rowOff>38100</xdr:rowOff>
    </xdr:from>
    <xdr:to>
      <xdr:col>17</xdr:col>
      <xdr:colOff>9525</xdr:colOff>
      <xdr:row>28</xdr:row>
      <xdr:rowOff>38100</xdr:rowOff>
    </xdr:to>
    <xdr:sp macro="" textlink="">
      <xdr:nvSpPr>
        <xdr:cNvPr id="15056" name="Line 295"/>
        <xdr:cNvSpPr>
          <a:spLocks noChangeShapeType="1"/>
        </xdr:cNvSpPr>
      </xdr:nvSpPr>
      <xdr:spPr bwMode="auto">
        <a:xfrm flipV="1">
          <a:off x="2714625" y="31623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27</xdr:row>
      <xdr:rowOff>123817</xdr:rowOff>
    </xdr:from>
    <xdr:to>
      <xdr:col>29</xdr:col>
      <xdr:colOff>76199</xdr:colOff>
      <xdr:row>29</xdr:row>
      <xdr:rowOff>9524</xdr:rowOff>
    </xdr:to>
    <xdr:sp macro="" textlink="">
      <xdr:nvSpPr>
        <xdr:cNvPr id="15060" name="Rectangle 304"/>
        <xdr:cNvSpPr>
          <a:spLocks noChangeArrowheads="1"/>
        </xdr:cNvSpPr>
      </xdr:nvSpPr>
      <xdr:spPr bwMode="auto">
        <a:xfrm rot="10800000">
          <a:off x="5010150" y="3133717"/>
          <a:ext cx="76199" cy="190507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28575</xdr:colOff>
      <xdr:row>13</xdr:row>
      <xdr:rowOff>85725</xdr:rowOff>
    </xdr:from>
    <xdr:to>
      <xdr:col>30</xdr:col>
      <xdr:colOff>0</xdr:colOff>
      <xdr:row>14</xdr:row>
      <xdr:rowOff>19050</xdr:rowOff>
    </xdr:to>
    <xdr:sp macro="" textlink="">
      <xdr:nvSpPr>
        <xdr:cNvPr id="15063" name="Rectangle 313"/>
        <xdr:cNvSpPr>
          <a:spLocks noChangeArrowheads="1"/>
        </xdr:cNvSpPr>
      </xdr:nvSpPr>
      <xdr:spPr bwMode="auto">
        <a:xfrm>
          <a:off x="4648200" y="1352550"/>
          <a:ext cx="142875" cy="9525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</xdr:row>
      <xdr:rowOff>114300</xdr:rowOff>
    </xdr:from>
    <xdr:to>
      <xdr:col>11</xdr:col>
      <xdr:colOff>85725</xdr:colOff>
      <xdr:row>16</xdr:row>
      <xdr:rowOff>133350</xdr:rowOff>
    </xdr:to>
    <xdr:sp macro="" textlink="">
      <xdr:nvSpPr>
        <xdr:cNvPr id="15066" name="Rectangle 322"/>
        <xdr:cNvSpPr>
          <a:spLocks noChangeArrowheads="1"/>
        </xdr:cNvSpPr>
      </xdr:nvSpPr>
      <xdr:spPr bwMode="auto">
        <a:xfrm>
          <a:off x="2409825" y="1704975"/>
          <a:ext cx="85725" cy="1524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19047</xdr:colOff>
      <xdr:row>27</xdr:row>
      <xdr:rowOff>123824</xdr:rowOff>
    </xdr:from>
    <xdr:to>
      <xdr:col>18</xdr:col>
      <xdr:colOff>85724</xdr:colOff>
      <xdr:row>28</xdr:row>
      <xdr:rowOff>142875</xdr:rowOff>
    </xdr:to>
    <xdr:sp macro="" textlink="">
      <xdr:nvSpPr>
        <xdr:cNvPr id="15074" name="Rectangle 348"/>
        <xdr:cNvSpPr>
          <a:spLocks noChangeArrowheads="1"/>
        </xdr:cNvSpPr>
      </xdr:nvSpPr>
      <xdr:spPr bwMode="auto">
        <a:xfrm rot="10800000">
          <a:off x="3238497" y="3133724"/>
          <a:ext cx="66677" cy="161926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27</xdr:row>
      <xdr:rowOff>38100</xdr:rowOff>
    </xdr:from>
    <xdr:to>
      <xdr:col>16</xdr:col>
      <xdr:colOff>66675</xdr:colOff>
      <xdr:row>28</xdr:row>
      <xdr:rowOff>28575</xdr:rowOff>
    </xdr:to>
    <xdr:sp macro="" textlink="">
      <xdr:nvSpPr>
        <xdr:cNvPr id="15077" name="AutoShape 371"/>
        <xdr:cNvSpPr>
          <a:spLocks noChangeArrowheads="1"/>
        </xdr:cNvSpPr>
      </xdr:nvSpPr>
      <xdr:spPr bwMode="auto">
        <a:xfrm flipV="1">
          <a:off x="2838450" y="3019425"/>
          <a:ext cx="76200" cy="13335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</xdr:colOff>
      <xdr:row>18</xdr:row>
      <xdr:rowOff>95250</xdr:rowOff>
    </xdr:from>
    <xdr:to>
      <xdr:col>19</xdr:col>
      <xdr:colOff>57150</xdr:colOff>
      <xdr:row>19</xdr:row>
      <xdr:rowOff>28575</xdr:rowOff>
    </xdr:to>
    <xdr:sp macro="" textlink="">
      <xdr:nvSpPr>
        <xdr:cNvPr id="15078" name="Rectangle 325"/>
        <xdr:cNvSpPr>
          <a:spLocks noChangeArrowheads="1"/>
        </xdr:cNvSpPr>
      </xdr:nvSpPr>
      <xdr:spPr bwMode="auto">
        <a:xfrm>
          <a:off x="3143250" y="2162175"/>
          <a:ext cx="238125" cy="9525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oneCellAnchor>
    <xdr:from>
      <xdr:col>12</xdr:col>
      <xdr:colOff>29551</xdr:colOff>
      <xdr:row>3</xdr:row>
      <xdr:rowOff>59505</xdr:rowOff>
    </xdr:from>
    <xdr:ext cx="184730" cy="374141"/>
    <xdr:sp macro="" textlink="">
      <xdr:nvSpPr>
        <xdr:cNvPr id="2" name="Rectangle 1"/>
        <xdr:cNvSpPr/>
      </xdr:nvSpPr>
      <xdr:spPr>
        <a:xfrm>
          <a:off x="2610191" y="577665"/>
          <a:ext cx="184730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1</xdr:colOff>
      <xdr:row>4</xdr:row>
      <xdr:rowOff>57149</xdr:rowOff>
    </xdr:from>
    <xdr:to>
      <xdr:col>4</xdr:col>
      <xdr:colOff>204789</xdr:colOff>
      <xdr:row>10</xdr:row>
      <xdr:rowOff>123824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704849"/>
          <a:ext cx="1500188" cy="333375"/>
        </a:xfrm>
        <a:prstGeom prst="rect">
          <a:avLst/>
        </a:prstGeom>
      </xdr:spPr>
    </xdr:pic>
    <xdr:clientData/>
  </xdr:twoCellAnchor>
  <xdr:twoCellAnchor>
    <xdr:from>
      <xdr:col>24</xdr:col>
      <xdr:colOff>161922</xdr:colOff>
      <xdr:row>28</xdr:row>
      <xdr:rowOff>38102</xdr:rowOff>
    </xdr:from>
    <xdr:to>
      <xdr:col>24</xdr:col>
      <xdr:colOff>207641</xdr:colOff>
      <xdr:row>28</xdr:row>
      <xdr:rowOff>133353</xdr:rowOff>
    </xdr:to>
    <xdr:sp macro="" textlink="">
      <xdr:nvSpPr>
        <xdr:cNvPr id="52" name="Rectangle 304"/>
        <xdr:cNvSpPr>
          <a:spLocks noChangeArrowheads="1"/>
        </xdr:cNvSpPr>
      </xdr:nvSpPr>
      <xdr:spPr bwMode="auto">
        <a:xfrm rot="5400000">
          <a:off x="4347206" y="3215643"/>
          <a:ext cx="95251" cy="4571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161923</xdr:colOff>
      <xdr:row>13</xdr:row>
      <xdr:rowOff>135255</xdr:rowOff>
    </xdr:from>
    <xdr:to>
      <xdr:col>29</xdr:col>
      <xdr:colOff>390524</xdr:colOff>
      <xdr:row>14</xdr:row>
      <xdr:rowOff>19049</xdr:rowOff>
    </xdr:to>
    <xdr:sp macro="" textlink="">
      <xdr:nvSpPr>
        <xdr:cNvPr id="53" name="Rectangle 313"/>
        <xdr:cNvSpPr>
          <a:spLocks noChangeArrowheads="1"/>
        </xdr:cNvSpPr>
      </xdr:nvSpPr>
      <xdr:spPr bwMode="auto">
        <a:xfrm>
          <a:off x="6915148" y="1430655"/>
          <a:ext cx="228601" cy="4571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142875</xdr:colOff>
      <xdr:row>28</xdr:row>
      <xdr:rowOff>52387</xdr:rowOff>
    </xdr:from>
    <xdr:to>
      <xdr:col>22</xdr:col>
      <xdr:colOff>0</xdr:colOff>
      <xdr:row>28</xdr:row>
      <xdr:rowOff>123828</xdr:rowOff>
    </xdr:to>
    <xdr:sp macro="" textlink="">
      <xdr:nvSpPr>
        <xdr:cNvPr id="32" name="Rectangle 304"/>
        <xdr:cNvSpPr>
          <a:spLocks noChangeArrowheads="1"/>
        </xdr:cNvSpPr>
      </xdr:nvSpPr>
      <xdr:spPr bwMode="auto">
        <a:xfrm rot="5400000">
          <a:off x="3612354" y="3174208"/>
          <a:ext cx="71441" cy="1333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38100</xdr:rowOff>
    </xdr:from>
    <xdr:to>
      <xdr:col>24</xdr:col>
      <xdr:colOff>142874</xdr:colOff>
      <xdr:row>28</xdr:row>
      <xdr:rowOff>123828</xdr:rowOff>
    </xdr:to>
    <xdr:sp macro="" textlink="">
      <xdr:nvSpPr>
        <xdr:cNvPr id="3" name="Flowchart: Collate 2"/>
        <xdr:cNvSpPr/>
      </xdr:nvSpPr>
      <xdr:spPr bwMode="auto">
        <a:xfrm rot="5400000">
          <a:off x="4262436" y="3167064"/>
          <a:ext cx="85728" cy="133349"/>
        </a:xfrm>
        <a:prstGeom prst="flowChartCollate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76200</xdr:colOff>
      <xdr:row>28</xdr:row>
      <xdr:rowOff>38100</xdr:rowOff>
    </xdr:from>
    <xdr:to>
      <xdr:col>24</xdr:col>
      <xdr:colOff>76200</xdr:colOff>
      <xdr:row>28</xdr:row>
      <xdr:rowOff>95250</xdr:rowOff>
    </xdr:to>
    <xdr:cxnSp macro="">
      <xdr:nvCxnSpPr>
        <xdr:cNvPr id="6" name="Straight Connector 5"/>
        <xdr:cNvCxnSpPr/>
      </xdr:nvCxnSpPr>
      <xdr:spPr bwMode="auto">
        <a:xfrm>
          <a:off x="4286250" y="3190875"/>
          <a:ext cx="0" cy="57150"/>
        </a:xfrm>
        <a:prstGeom prst="line">
          <a:avLst/>
        </a:prstGeom>
        <a:solidFill>
          <a:srgbClr val="FFFFFF"/>
        </a:solidFill>
        <a:ln w="28575" cap="flat" cmpd="sng" algn="ctr">
          <a:solidFill>
            <a:srgbClr val="11111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47625</xdr:colOff>
      <xdr:row>28</xdr:row>
      <xdr:rowOff>28575</xdr:rowOff>
    </xdr:from>
    <xdr:to>
      <xdr:col>24</xdr:col>
      <xdr:colOff>104775</xdr:colOff>
      <xdr:row>28</xdr:row>
      <xdr:rowOff>28575</xdr:rowOff>
    </xdr:to>
    <xdr:cxnSp macro="">
      <xdr:nvCxnSpPr>
        <xdr:cNvPr id="54" name="Straight Connector 53"/>
        <xdr:cNvCxnSpPr/>
      </xdr:nvCxnSpPr>
      <xdr:spPr bwMode="auto">
        <a:xfrm rot="16200000">
          <a:off x="4286250" y="3152775"/>
          <a:ext cx="0" cy="57150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11111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</xdr:col>
      <xdr:colOff>47625</xdr:colOff>
      <xdr:row>28</xdr:row>
      <xdr:rowOff>52387</xdr:rowOff>
    </xdr:from>
    <xdr:to>
      <xdr:col>19</xdr:col>
      <xdr:colOff>76200</xdr:colOff>
      <xdr:row>28</xdr:row>
      <xdr:rowOff>123828</xdr:rowOff>
    </xdr:to>
    <xdr:sp macro="" textlink="">
      <xdr:nvSpPr>
        <xdr:cNvPr id="56" name="Rectangle 304"/>
        <xdr:cNvSpPr>
          <a:spLocks noChangeArrowheads="1"/>
        </xdr:cNvSpPr>
      </xdr:nvSpPr>
      <xdr:spPr bwMode="auto">
        <a:xfrm rot="5400000">
          <a:off x="3298029" y="3174208"/>
          <a:ext cx="71441" cy="1333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29</xdr:row>
      <xdr:rowOff>0</xdr:rowOff>
    </xdr:from>
    <xdr:to>
      <xdr:col>30</xdr:col>
      <xdr:colOff>76200</xdr:colOff>
      <xdr:row>29</xdr:row>
      <xdr:rowOff>0</xdr:rowOff>
    </xdr:to>
    <xdr:sp macro="" textlink="">
      <xdr:nvSpPr>
        <xdr:cNvPr id="63" name="Line 295"/>
        <xdr:cNvSpPr>
          <a:spLocks noChangeShapeType="1"/>
        </xdr:cNvSpPr>
      </xdr:nvSpPr>
      <xdr:spPr bwMode="auto">
        <a:xfrm flipV="1">
          <a:off x="2181225" y="3314700"/>
          <a:ext cx="2990850" cy="0"/>
        </a:xfrm>
        <a:prstGeom prst="line">
          <a:avLst/>
        </a:prstGeom>
        <a:noFill/>
        <a:ln w="28575">
          <a:solidFill>
            <a:schemeClr val="bg1">
              <a:lumMod val="50000"/>
            </a:schemeClr>
          </a:solidFill>
          <a:round/>
          <a:headEnd/>
          <a:tailEnd/>
        </a:ln>
      </xdr:spPr>
    </xdr:sp>
    <xdr:clientData/>
  </xdr:twoCellAnchor>
  <xdr:twoCellAnchor>
    <xdr:from>
      <xdr:col>23</xdr:col>
      <xdr:colOff>247647</xdr:colOff>
      <xdr:row>28</xdr:row>
      <xdr:rowOff>38102</xdr:rowOff>
    </xdr:from>
    <xdr:to>
      <xdr:col>23</xdr:col>
      <xdr:colOff>293366</xdr:colOff>
      <xdr:row>28</xdr:row>
      <xdr:rowOff>133353</xdr:rowOff>
    </xdr:to>
    <xdr:sp macro="" textlink="">
      <xdr:nvSpPr>
        <xdr:cNvPr id="46" name="Rectangle 304"/>
        <xdr:cNvSpPr>
          <a:spLocks noChangeArrowheads="1"/>
        </xdr:cNvSpPr>
      </xdr:nvSpPr>
      <xdr:spPr bwMode="auto">
        <a:xfrm rot="5400000">
          <a:off x="4147181" y="3215643"/>
          <a:ext cx="95251" cy="4571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15</xdr:row>
      <xdr:rowOff>114300</xdr:rowOff>
    </xdr:from>
    <xdr:to>
      <xdr:col>16</xdr:col>
      <xdr:colOff>85725</xdr:colOff>
      <xdr:row>16</xdr:row>
      <xdr:rowOff>133350</xdr:rowOff>
    </xdr:to>
    <xdr:sp macro="" textlink="">
      <xdr:nvSpPr>
        <xdr:cNvPr id="33" name="Rectangle 322"/>
        <xdr:cNvSpPr>
          <a:spLocks noChangeArrowheads="1"/>
        </xdr:cNvSpPr>
      </xdr:nvSpPr>
      <xdr:spPr bwMode="auto">
        <a:xfrm>
          <a:off x="3028950" y="1704975"/>
          <a:ext cx="85725" cy="1524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56</xdr:col>
      <xdr:colOff>285748</xdr:colOff>
      <xdr:row>14</xdr:row>
      <xdr:rowOff>125730</xdr:rowOff>
    </xdr:from>
    <xdr:to>
      <xdr:col>57</xdr:col>
      <xdr:colOff>38099</xdr:colOff>
      <xdr:row>15</xdr:row>
      <xdr:rowOff>9524</xdr:rowOff>
    </xdr:to>
    <xdr:sp macro="" textlink="">
      <xdr:nvSpPr>
        <xdr:cNvPr id="35" name="Rectangle 313"/>
        <xdr:cNvSpPr>
          <a:spLocks noChangeArrowheads="1"/>
        </xdr:cNvSpPr>
      </xdr:nvSpPr>
      <xdr:spPr bwMode="auto">
        <a:xfrm>
          <a:off x="7058023" y="1421130"/>
          <a:ext cx="228601" cy="4571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257175</xdr:colOff>
      <xdr:row>15</xdr:row>
      <xdr:rowOff>104775</xdr:rowOff>
    </xdr:from>
    <xdr:to>
      <xdr:col>42</xdr:col>
      <xdr:colOff>0</xdr:colOff>
      <xdr:row>15</xdr:row>
      <xdr:rowOff>104775</xdr:rowOff>
    </xdr:to>
    <xdr:cxnSp macro="">
      <xdr:nvCxnSpPr>
        <xdr:cNvPr id="7" name="Straight Connector 6"/>
        <xdr:cNvCxnSpPr/>
      </xdr:nvCxnSpPr>
      <xdr:spPr bwMode="auto">
        <a:xfrm>
          <a:off x="6429375" y="1714500"/>
          <a:ext cx="295275" cy="0"/>
        </a:xfrm>
        <a:prstGeom prst="line">
          <a:avLst/>
        </a:prstGeom>
        <a:solidFill>
          <a:srgbClr val="FFFFFF"/>
        </a:solidFill>
        <a:ln w="2857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51</xdr:col>
      <xdr:colOff>19049</xdr:colOff>
      <xdr:row>13</xdr:row>
      <xdr:rowOff>104775</xdr:rowOff>
    </xdr:from>
    <xdr:to>
      <xdr:col>51</xdr:col>
      <xdr:colOff>66674</xdr:colOff>
      <xdr:row>14</xdr:row>
      <xdr:rowOff>19050</xdr:rowOff>
    </xdr:to>
    <xdr:sp macro="" textlink="">
      <xdr:nvSpPr>
        <xdr:cNvPr id="45" name="Rectangle 313"/>
        <xdr:cNvSpPr>
          <a:spLocks noChangeArrowheads="1"/>
        </xdr:cNvSpPr>
      </xdr:nvSpPr>
      <xdr:spPr bwMode="auto">
        <a:xfrm>
          <a:off x="9944099" y="1419225"/>
          <a:ext cx="47625" cy="762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19049</xdr:colOff>
      <xdr:row>34</xdr:row>
      <xdr:rowOff>104775</xdr:rowOff>
    </xdr:from>
    <xdr:to>
      <xdr:col>51</xdr:col>
      <xdr:colOff>66674</xdr:colOff>
      <xdr:row>35</xdr:row>
      <xdr:rowOff>19050</xdr:rowOff>
    </xdr:to>
    <xdr:sp macro="" textlink="">
      <xdr:nvSpPr>
        <xdr:cNvPr id="31" name="Rectangle 313"/>
        <xdr:cNvSpPr>
          <a:spLocks noChangeArrowheads="1"/>
        </xdr:cNvSpPr>
      </xdr:nvSpPr>
      <xdr:spPr bwMode="auto">
        <a:xfrm>
          <a:off x="9991724" y="1419225"/>
          <a:ext cx="47625" cy="762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111</xdr:row>
      <xdr:rowOff>19050</xdr:rowOff>
    </xdr:from>
    <xdr:to>
      <xdr:col>13</xdr:col>
      <xdr:colOff>76200</xdr:colOff>
      <xdr:row>117</xdr:row>
      <xdr:rowOff>9525</xdr:rowOff>
    </xdr:to>
    <xdr:pic>
      <xdr:nvPicPr>
        <xdr:cNvPr id="159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5849600"/>
          <a:ext cx="98869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117</xdr:row>
      <xdr:rowOff>57150</xdr:rowOff>
    </xdr:from>
    <xdr:to>
      <xdr:col>13</xdr:col>
      <xdr:colOff>66675</xdr:colOff>
      <xdr:row>121</xdr:row>
      <xdr:rowOff>19050</xdr:rowOff>
    </xdr:to>
    <xdr:pic>
      <xdr:nvPicPr>
        <xdr:cNvPr id="159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16859250"/>
          <a:ext cx="9877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Y178"/>
  <sheetViews>
    <sheetView showGridLines="0" showRowColHeaders="0" tabSelected="1" topLeftCell="B1" zoomScaleNormal="100" zoomScaleSheetLayoutView="100" workbookViewId="0">
      <selection activeCell="M18" sqref="M18"/>
    </sheetView>
  </sheetViews>
  <sheetFormatPr defaultColWidth="9.140625" defaultRowHeight="12.75" x14ac:dyDescent="0.2"/>
  <cols>
    <col min="1" max="1" width="1.42578125" style="279" hidden="1" customWidth="1"/>
    <col min="2" max="2" width="1.42578125" style="279" customWidth="1"/>
    <col min="3" max="3" width="15.7109375" style="279" customWidth="1"/>
    <col min="4" max="5" width="3.7109375" style="279" customWidth="1"/>
    <col min="6" max="6" width="1.7109375" style="279" customWidth="1"/>
    <col min="7" max="7" width="5.7109375" style="279" customWidth="1"/>
    <col min="8" max="8" width="2.7109375" style="279" hidden="1" customWidth="1"/>
    <col min="9" max="9" width="2" style="279" hidden="1" customWidth="1"/>
    <col min="10" max="10" width="2.7109375" style="279" customWidth="1"/>
    <col min="11" max="12" width="1.42578125" style="279" customWidth="1"/>
    <col min="13" max="13" width="4.7109375" style="279" customWidth="1"/>
    <col min="14" max="14" width="1.42578125" style="279" customWidth="1"/>
    <col min="15" max="16" width="0.85546875" style="279" customWidth="1"/>
    <col min="17" max="18" width="1.42578125" style="279" customWidth="1"/>
    <col min="19" max="19" width="1.5703125" style="279" customWidth="1"/>
    <col min="20" max="20" width="1.7109375" style="279" customWidth="1"/>
    <col min="21" max="21" width="2.7109375" style="279" customWidth="1"/>
    <col min="22" max="22" width="1.42578125" style="279" customWidth="1"/>
    <col min="23" max="23" width="3.140625" style="279" customWidth="1"/>
    <col min="24" max="24" width="4.5703125" style="279" customWidth="1"/>
    <col min="25" max="25" width="6.7109375" style="279" customWidth="1"/>
    <col min="26" max="26" width="3" style="279" customWidth="1"/>
    <col min="27" max="27" width="2.28515625" style="279" customWidth="1"/>
    <col min="28" max="28" width="4" style="279" hidden="1" customWidth="1"/>
    <col min="29" max="29" width="3.7109375" style="279" hidden="1" customWidth="1"/>
    <col min="30" max="30" width="1.28515625" style="279" customWidth="1"/>
    <col min="31" max="31" width="1.42578125" style="279" customWidth="1"/>
    <col min="32" max="32" width="1.140625" style="279" customWidth="1"/>
    <col min="33" max="33" width="2.28515625" style="279" customWidth="1"/>
    <col min="34" max="34" width="0.85546875" style="279" customWidth="1"/>
    <col min="35" max="35" width="3.7109375" style="279" customWidth="1"/>
    <col min="36" max="36" width="1.7109375" style="279" customWidth="1"/>
    <col min="37" max="37" width="2.85546875" style="279" hidden="1" customWidth="1"/>
    <col min="38" max="39" width="4.7109375" style="279" customWidth="1"/>
    <col min="40" max="40" width="2.7109375" style="279" customWidth="1"/>
    <col min="41" max="41" width="1.7109375" style="279" hidden="1" customWidth="1"/>
    <col min="42" max="42" width="0.85546875" style="279" customWidth="1"/>
    <col min="43" max="43" width="0.7109375" style="279" customWidth="1"/>
    <col min="44" max="44" width="7.140625" style="279" customWidth="1"/>
    <col min="45" max="45" width="9.140625" style="279" customWidth="1"/>
    <col min="46" max="46" width="1.28515625" style="279" customWidth="1"/>
    <col min="47" max="47" width="6.7109375" style="279" customWidth="1"/>
    <col min="48" max="48" width="7.85546875" style="279" customWidth="1"/>
    <col min="49" max="49" width="1.28515625" style="279" customWidth="1"/>
    <col min="50" max="50" width="6.28515625" style="279" customWidth="1"/>
    <col min="51" max="51" width="9.42578125" style="279" customWidth="1"/>
    <col min="52" max="52" width="1.42578125" style="279" customWidth="1"/>
    <col min="53" max="53" width="1.7109375" style="279" hidden="1" customWidth="1"/>
    <col min="54" max="54" width="5.7109375" style="279" hidden="1" customWidth="1"/>
    <col min="55" max="55" width="9.7109375" style="279" hidden="1" customWidth="1"/>
    <col min="56" max="56" width="0.85546875" style="279" hidden="1" customWidth="1"/>
    <col min="57" max="57" width="5.7109375" style="279" hidden="1" customWidth="1"/>
    <col min="58" max="58" width="4.7109375" style="279" hidden="1" customWidth="1"/>
    <col min="59" max="75" width="9.140625" style="279" hidden="1" customWidth="1"/>
    <col min="76" max="76" width="12.42578125" style="279" hidden="1" customWidth="1"/>
    <col min="77" max="77" width="9.140625" style="279" hidden="1" customWidth="1"/>
    <col min="78" max="78" width="11" style="279" hidden="1" customWidth="1"/>
    <col min="79" max="79" width="9.140625" style="279" hidden="1" customWidth="1"/>
    <col min="80" max="80" width="12.140625" style="279" hidden="1" customWidth="1"/>
    <col min="81" max="91" width="9.140625" style="279" hidden="1" customWidth="1"/>
    <col min="92" max="93" width="0" style="279" hidden="1" customWidth="1"/>
    <col min="94" max="16384" width="9.140625" style="279"/>
  </cols>
  <sheetData>
    <row r="1" spans="1:96" x14ac:dyDescent="0.2">
      <c r="A1" s="171"/>
      <c r="B1" s="452"/>
      <c r="C1" s="453" t="s">
        <v>298</v>
      </c>
      <c r="D1" s="452"/>
      <c r="E1" s="452"/>
      <c r="F1" s="454" t="s">
        <v>109</v>
      </c>
      <c r="G1" s="723" t="s">
        <v>23</v>
      </c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5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3" t="s">
        <v>325</v>
      </c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332"/>
      <c r="BB1" s="171"/>
      <c r="BC1" s="171"/>
      <c r="BD1" s="171"/>
      <c r="BE1" s="171"/>
      <c r="BF1" s="171"/>
      <c r="BG1" s="171"/>
      <c r="BH1" s="171"/>
      <c r="BI1" s="171"/>
      <c r="BJ1" s="171"/>
      <c r="BK1" s="171"/>
    </row>
    <row r="2" spans="1:96" x14ac:dyDescent="0.2">
      <c r="A2" s="171"/>
      <c r="B2" s="452"/>
      <c r="C2" s="453" t="s">
        <v>297</v>
      </c>
      <c r="D2" s="455"/>
      <c r="E2" s="455" t="s">
        <v>1</v>
      </c>
      <c r="F2" s="455" t="s">
        <v>109</v>
      </c>
      <c r="G2" s="723" t="s">
        <v>23</v>
      </c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5"/>
      <c r="X2" s="455"/>
      <c r="Y2" s="455"/>
      <c r="Z2" s="455"/>
      <c r="AA2" s="452"/>
      <c r="AB2" s="452"/>
      <c r="AC2" s="452"/>
      <c r="AD2" s="452"/>
      <c r="AE2" s="452"/>
      <c r="AF2" s="452"/>
      <c r="AG2" s="452"/>
      <c r="AH2" s="456" t="s">
        <v>327</v>
      </c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333"/>
      <c r="BB2" s="174"/>
      <c r="BC2" s="174"/>
      <c r="BD2" s="174"/>
      <c r="BE2" s="174"/>
      <c r="BF2" s="174"/>
      <c r="BG2" s="171"/>
      <c r="BH2" s="171"/>
      <c r="BI2" s="171"/>
      <c r="BJ2" s="171"/>
      <c r="BK2" s="171"/>
    </row>
    <row r="3" spans="1:96" x14ac:dyDescent="0.2">
      <c r="A3" s="171"/>
      <c r="B3" s="452"/>
      <c r="C3" s="453" t="s">
        <v>224</v>
      </c>
      <c r="D3" s="455"/>
      <c r="E3" s="455" t="s">
        <v>1</v>
      </c>
      <c r="F3" s="455" t="s">
        <v>109</v>
      </c>
      <c r="G3" s="675">
        <f ca="1">NOW()</f>
        <v>45079.778979050927</v>
      </c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7"/>
      <c r="X3" s="455"/>
      <c r="Y3" s="455"/>
      <c r="Z3" s="455"/>
      <c r="AA3" s="452"/>
      <c r="AB3" s="452"/>
      <c r="AC3" s="452"/>
      <c r="AD3" s="452"/>
      <c r="AE3" s="452"/>
      <c r="AF3" s="452"/>
      <c r="AG3" s="452"/>
      <c r="AH3" s="652" t="s">
        <v>326</v>
      </c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333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285"/>
      <c r="BM3" s="285"/>
      <c r="BN3" s="285"/>
      <c r="BX3" s="538">
        <f>T44</f>
        <v>1000</v>
      </c>
      <c r="BY3" s="538" t="str">
        <f>W44</f>
        <v>Psi</v>
      </c>
      <c r="BZ3" s="539">
        <f>BX19</f>
        <v>703</v>
      </c>
      <c r="CA3" s="540" t="str">
        <f>AA44</f>
        <v>M (H2O)</v>
      </c>
      <c r="CB3" s="278"/>
      <c r="CC3" s="278"/>
    </row>
    <row r="4" spans="1:96" ht="11.1" customHeight="1" x14ac:dyDescent="0.2">
      <c r="A4" s="171"/>
      <c r="B4" s="176"/>
      <c r="C4" s="346" t="str">
        <f ca="1">Tot.Head!F73</f>
        <v/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700"/>
      <c r="V4" s="701"/>
      <c r="W4" s="173" t="s">
        <v>231</v>
      </c>
      <c r="X4" s="175"/>
      <c r="Y4" s="336" t="s">
        <v>172</v>
      </c>
      <c r="Z4" s="175"/>
      <c r="AA4" s="175"/>
      <c r="AB4" s="175"/>
      <c r="AC4" s="175"/>
      <c r="AD4" s="175"/>
      <c r="AE4" s="175"/>
      <c r="AF4" s="175"/>
      <c r="AG4" s="175"/>
      <c r="AH4" s="636" t="s">
        <v>1</v>
      </c>
      <c r="AI4" s="636"/>
      <c r="AJ4" s="634"/>
      <c r="AK4" s="634"/>
      <c r="AL4" s="634"/>
      <c r="AM4" s="634"/>
      <c r="AN4" s="634"/>
      <c r="AO4" s="634"/>
      <c r="AP4" s="634"/>
      <c r="AQ4" s="634"/>
      <c r="AR4" s="634"/>
      <c r="AS4" s="634"/>
      <c r="AT4" s="634"/>
      <c r="AU4" s="634"/>
      <c r="AV4" s="634"/>
      <c r="AW4" s="634"/>
      <c r="AX4" s="634"/>
      <c r="AY4" s="634"/>
      <c r="AZ4" s="634"/>
      <c r="BA4" s="171"/>
      <c r="BB4" s="746" t="s">
        <v>1</v>
      </c>
      <c r="BC4" s="746"/>
      <c r="BD4" s="746"/>
      <c r="BE4" s="746"/>
      <c r="BF4" s="746"/>
      <c r="BG4" s="171"/>
      <c r="BH4" s="171"/>
      <c r="BI4" s="171"/>
      <c r="BJ4" s="171"/>
      <c r="BK4" s="171"/>
      <c r="BX4" s="278"/>
      <c r="BY4" s="278"/>
      <c r="BZ4" s="278"/>
      <c r="CA4" s="278"/>
      <c r="CB4" s="278"/>
      <c r="CC4" s="278"/>
    </row>
    <row r="5" spans="1:96" ht="11.1" customHeight="1" x14ac:dyDescent="0.2">
      <c r="A5" s="177" t="s">
        <v>1</v>
      </c>
      <c r="B5" s="405"/>
      <c r="C5" s="341" t="s">
        <v>1</v>
      </c>
      <c r="D5" s="341"/>
      <c r="E5" s="176"/>
      <c r="F5" s="176"/>
      <c r="G5" s="176"/>
      <c r="H5" s="303"/>
      <c r="I5" s="303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702"/>
      <c r="V5" s="703"/>
      <c r="W5" s="173" t="s">
        <v>232</v>
      </c>
      <c r="X5" s="173"/>
      <c r="Y5" s="173"/>
      <c r="Z5" s="173"/>
      <c r="AA5" s="176"/>
      <c r="AB5" s="176"/>
      <c r="AC5" s="176"/>
      <c r="AD5" s="176"/>
      <c r="AE5" s="176"/>
      <c r="AF5" s="176"/>
      <c r="AG5" s="173" t="s">
        <v>1</v>
      </c>
      <c r="AH5" s="191" t="s">
        <v>1</v>
      </c>
      <c r="AI5" s="191"/>
      <c r="AJ5" s="191"/>
      <c r="AK5" s="191"/>
      <c r="AL5" s="191"/>
      <c r="AM5" s="191"/>
      <c r="AN5" s="191"/>
      <c r="AO5" s="191"/>
      <c r="AP5" s="191"/>
      <c r="AQ5" s="191"/>
      <c r="AR5" s="577" t="s">
        <v>317</v>
      </c>
      <c r="AS5" s="663" t="s">
        <v>1</v>
      </c>
      <c r="AT5" s="663"/>
      <c r="AU5" s="577" t="s">
        <v>318</v>
      </c>
      <c r="AV5" s="663" t="s">
        <v>1</v>
      </c>
      <c r="AW5" s="663"/>
      <c r="AX5" s="637" t="s">
        <v>319</v>
      </c>
      <c r="AY5" s="409"/>
      <c r="AZ5" s="408"/>
      <c r="BA5" s="284"/>
      <c r="BB5" s="754" t="s">
        <v>180</v>
      </c>
      <c r="BC5" s="754"/>
      <c r="BD5" s="754"/>
      <c r="BE5" s="754"/>
      <c r="BF5" s="754"/>
      <c r="BG5" s="171"/>
      <c r="BH5" s="171"/>
      <c r="BI5" s="171"/>
      <c r="BJ5" s="171"/>
      <c r="BK5" s="171"/>
    </row>
    <row r="6" spans="1:96" ht="11.1" hidden="1" customHeight="1" x14ac:dyDescent="0.2">
      <c r="A6" s="171"/>
      <c r="B6" s="176"/>
      <c r="C6" s="341" t="s">
        <v>1</v>
      </c>
      <c r="D6" s="341"/>
      <c r="E6" s="176"/>
      <c r="F6" s="176"/>
      <c r="G6" s="396"/>
      <c r="H6" s="303"/>
      <c r="I6" s="303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342"/>
      <c r="V6" s="343"/>
      <c r="W6" s="176"/>
      <c r="X6" s="176"/>
      <c r="Y6" s="173"/>
      <c r="Z6" s="173"/>
      <c r="AA6" s="176"/>
      <c r="AB6" s="176"/>
      <c r="AC6" s="176"/>
      <c r="AD6" s="176"/>
      <c r="AE6" s="176"/>
      <c r="AF6" s="176"/>
      <c r="AG6" s="176"/>
      <c r="AH6" s="173" t="s">
        <v>292</v>
      </c>
      <c r="AI6" s="176"/>
      <c r="AJ6" s="176"/>
      <c r="AK6" s="176"/>
      <c r="AL6" s="176"/>
      <c r="AM6" s="176"/>
      <c r="AN6" s="344" t="s">
        <v>11</v>
      </c>
      <c r="AO6" s="176"/>
      <c r="AP6" s="406" t="s">
        <v>109</v>
      </c>
      <c r="AQ6" s="176"/>
      <c r="AR6" s="638">
        <f>AR14</f>
        <v>1</v>
      </c>
      <c r="AS6" s="639" t="str">
        <f>IF(G18=4,"",IF(G18=6,"",IF(G18=7,"",IF($C$16="1 outlet pipe : Ld1","",IF($AR$8&gt;=$AU$8,"Qd1≥Qd2: OK",IF($AR$8&lt;$AU$8,"Qd1&lt;Qd2: NO",))))))</f>
        <v/>
      </c>
      <c r="AT6" s="608"/>
      <c r="AU6" s="640">
        <f>IF($G$18=4,AU14,IF($G$18=6,AU14,IF($G$18=7,AU14,IF($C$16=$C$162,$AU$14,IF($C$16=$C$163,$AU$14,IF($C$16=$C$164,$AU$14,IF($C$16=$C$165,$AU$14,IF($C$16=$C$166,$AU$14,IF($C$16=$C$167,$AU$14,IF($C$16=$C$168,AR6-AU14,))))))))))</f>
        <v>0</v>
      </c>
      <c r="AV6" s="679" t="str">
        <f>IF(G18=4,"",IF(G18=6,"",IF(G18=7,"",IF($C$16="1 outlet pipe : Ld1","",IF($C$16="2 outlet pipe : Ld1+Ld2","",IF($AU$8&gt;=$AX$8,"Qd2≥Qd3 : OK",IF($AU$8&lt;$AX$8,"Qd2&lt;Qd3: NO",)))))))</f>
        <v/>
      </c>
      <c r="AW6" s="680"/>
      <c r="AX6" s="640">
        <f>IF($G$18=4,AX14,IF($G$18=6,AX14,IF($G$18=7,AX14,IF($C$16=$C$162,$AX$14,IF($C$16=$C$163,$AX$14,IF($C$16=$C$164,$AX$14,IF($C$16=$C$165,$AX$14,IF($C$16=$C$166,$AX$14,IF($C$16=$C$167,AV18,IF($C$16=$C$168,$AX$14,))))))))))</f>
        <v>0</v>
      </c>
      <c r="AY6" s="485" t="s">
        <v>1</v>
      </c>
      <c r="AZ6" s="176" t="s">
        <v>1</v>
      </c>
      <c r="BA6" s="171"/>
      <c r="BB6" s="755" t="s">
        <v>1</v>
      </c>
      <c r="BC6" s="756"/>
      <c r="BD6" s="756"/>
      <c r="BE6" s="756"/>
      <c r="BF6" s="757"/>
      <c r="BG6" s="171"/>
      <c r="BH6" s="171"/>
      <c r="BI6" s="172" t="s">
        <v>1</v>
      </c>
      <c r="BJ6" s="172" t="s">
        <v>1</v>
      </c>
      <c r="BK6" s="171"/>
    </row>
    <row r="7" spans="1:96" ht="11.1" hidden="1" customHeight="1" x14ac:dyDescent="0.2">
      <c r="A7" s="171"/>
      <c r="B7" s="176"/>
      <c r="C7" s="173" t="s">
        <v>1</v>
      </c>
      <c r="D7" s="173"/>
      <c r="E7" s="173"/>
      <c r="F7" s="173"/>
      <c r="G7" s="176"/>
      <c r="H7" s="303"/>
      <c r="I7" s="303"/>
      <c r="J7" s="176"/>
      <c r="K7" s="176"/>
      <c r="L7" s="176"/>
      <c r="M7" s="176"/>
      <c r="N7" s="176"/>
      <c r="O7" s="176"/>
      <c r="P7" s="176"/>
      <c r="Q7" s="173" t="s">
        <v>1</v>
      </c>
      <c r="R7" s="173"/>
      <c r="S7" s="176"/>
      <c r="T7" s="176"/>
      <c r="U7" s="342"/>
      <c r="V7" s="343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3" t="s">
        <v>1</v>
      </c>
      <c r="AI7" s="176"/>
      <c r="AJ7" s="176"/>
      <c r="AK7" s="176"/>
      <c r="AL7" s="176"/>
      <c r="AM7" s="176"/>
      <c r="AN7" s="176"/>
      <c r="AO7" s="176"/>
      <c r="AP7" s="406" t="s">
        <v>109</v>
      </c>
      <c r="AQ7" s="176"/>
      <c r="AR7" s="641"/>
      <c r="AS7" s="608"/>
      <c r="AT7" s="608"/>
      <c r="AU7" s="642"/>
      <c r="AV7" s="608"/>
      <c r="AW7" s="608"/>
      <c r="AX7" s="643"/>
      <c r="AY7" s="176"/>
      <c r="AZ7" s="176"/>
      <c r="BA7" s="171"/>
      <c r="BB7" s="179"/>
      <c r="BC7" s="176"/>
      <c r="BD7" s="176"/>
      <c r="BE7" s="176"/>
      <c r="BF7" s="180"/>
      <c r="BG7" s="171"/>
      <c r="BH7" s="171"/>
      <c r="BI7" s="171"/>
      <c r="BJ7" s="171"/>
      <c r="BK7" s="171"/>
    </row>
    <row r="8" spans="1:96" ht="11.1" hidden="1" customHeight="1" x14ac:dyDescent="0.25">
      <c r="A8" s="171"/>
      <c r="B8" s="176"/>
      <c r="C8" s="173"/>
      <c r="D8" s="173"/>
      <c r="E8" s="173"/>
      <c r="F8" s="173"/>
      <c r="G8" s="176"/>
      <c r="H8" s="303"/>
      <c r="I8" s="303"/>
      <c r="J8" s="176"/>
      <c r="K8" s="176"/>
      <c r="L8" s="176"/>
      <c r="M8" s="176"/>
      <c r="N8" s="176"/>
      <c r="O8" s="176"/>
      <c r="P8" s="176"/>
      <c r="Q8" s="173"/>
      <c r="R8" s="173"/>
      <c r="S8" s="176"/>
      <c r="T8" s="176"/>
      <c r="U8" s="342"/>
      <c r="V8" s="343"/>
      <c r="W8" s="176"/>
      <c r="X8" s="176"/>
      <c r="Y8" s="173"/>
      <c r="Z8" s="176"/>
      <c r="AA8" s="176"/>
      <c r="AB8" s="176"/>
      <c r="AC8" s="176"/>
      <c r="AD8" s="176"/>
      <c r="AE8" s="176"/>
      <c r="AF8" s="176"/>
      <c r="AG8" s="176"/>
      <c r="AH8" s="173" t="s">
        <v>270</v>
      </c>
      <c r="AI8" s="176"/>
      <c r="AJ8" s="176"/>
      <c r="AK8" s="176"/>
      <c r="AL8" s="176"/>
      <c r="AM8" s="664" t="str">
        <f>$Z$17</f>
        <v>M3/hr</v>
      </c>
      <c r="AN8" s="664"/>
      <c r="AO8" s="176"/>
      <c r="AP8" s="406" t="s">
        <v>109</v>
      </c>
      <c r="AQ8" s="176"/>
      <c r="AR8" s="644">
        <f>Y17</f>
        <v>5</v>
      </c>
      <c r="AS8" s="645" t="str">
        <f>IF($AR$8&gt;=$AU$8,"",IF($AR$8&lt;$AU$8,"No permitted",))</f>
        <v/>
      </c>
      <c r="AT8" s="608"/>
      <c r="AU8" s="646">
        <f>AR8*AU6</f>
        <v>0</v>
      </c>
      <c r="AV8" s="693" t="str">
        <f>IF($AU$8&gt;=$AX$8,"",IF($AU$8&lt;$AX$8,"No permitted",))</f>
        <v/>
      </c>
      <c r="AW8" s="694"/>
      <c r="AX8" s="646">
        <f>AR8*AX6</f>
        <v>0</v>
      </c>
      <c r="AY8" s="543" t="s">
        <v>1</v>
      </c>
      <c r="AZ8" s="176"/>
      <c r="BA8" s="171"/>
      <c r="BB8" s="179"/>
      <c r="BC8" s="176"/>
      <c r="BD8" s="176"/>
      <c r="BE8" s="176"/>
      <c r="BF8" s="180"/>
      <c r="BG8" s="171"/>
      <c r="BH8" s="171"/>
      <c r="BI8" s="171"/>
      <c r="BJ8" s="171"/>
      <c r="BK8" s="171"/>
    </row>
    <row r="9" spans="1:96" ht="11.1" hidden="1" customHeight="1" x14ac:dyDescent="0.2">
      <c r="A9" s="171"/>
      <c r="B9" s="176"/>
      <c r="C9" s="173" t="s">
        <v>1</v>
      </c>
      <c r="D9" s="173"/>
      <c r="E9" s="173"/>
      <c r="F9" s="176"/>
      <c r="G9" s="176"/>
      <c r="H9" s="303"/>
      <c r="I9" s="303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462"/>
      <c r="V9" s="463"/>
      <c r="W9" s="173" t="s">
        <v>234</v>
      </c>
      <c r="X9" s="173"/>
      <c r="Y9" s="173"/>
      <c r="Z9" s="173"/>
      <c r="AA9" s="176"/>
      <c r="AB9" s="176"/>
      <c r="AC9" s="176"/>
      <c r="AD9" s="176"/>
      <c r="AE9" s="176"/>
      <c r="AF9" s="176"/>
      <c r="AG9" s="176"/>
      <c r="AH9" s="173" t="s">
        <v>176</v>
      </c>
      <c r="AI9" s="176"/>
      <c r="AJ9" s="176"/>
      <c r="AK9" s="176"/>
      <c r="AL9" s="176"/>
      <c r="AM9" s="176"/>
      <c r="AN9" s="176"/>
      <c r="AO9" s="176"/>
      <c r="AP9" s="406" t="s">
        <v>109</v>
      </c>
      <c r="AQ9" s="176"/>
      <c r="AR9" s="647">
        <f>BE9</f>
        <v>5.0000004000000002</v>
      </c>
      <c r="AS9" s="608"/>
      <c r="AT9" s="608"/>
      <c r="AU9" s="648">
        <f>AR9*AU6</f>
        <v>0</v>
      </c>
      <c r="AV9" s="608"/>
      <c r="AW9" s="608"/>
      <c r="AX9" s="648">
        <f>AR9*AX6</f>
        <v>0</v>
      </c>
      <c r="AY9" s="214"/>
      <c r="AZ9" s="173" t="s">
        <v>1</v>
      </c>
      <c r="BA9" s="172"/>
      <c r="BB9" s="758" t="s">
        <v>175</v>
      </c>
      <c r="BC9" s="759"/>
      <c r="BD9" s="181" t="s">
        <v>129</v>
      </c>
      <c r="BE9" s="347">
        <f>Y16*3.6</f>
        <v>5.0000004000000002</v>
      </c>
      <c r="BF9" s="182" t="s">
        <v>163</v>
      </c>
      <c r="BG9" s="171"/>
      <c r="BH9" s="171"/>
      <c r="BI9" s="172" t="s">
        <v>1</v>
      </c>
      <c r="BJ9" s="172" t="s">
        <v>1</v>
      </c>
      <c r="BK9" s="171"/>
      <c r="BL9" s="278" t="s">
        <v>1</v>
      </c>
    </row>
    <row r="10" spans="1:96" ht="11.1" customHeight="1" x14ac:dyDescent="0.2">
      <c r="A10" s="171"/>
      <c r="B10" s="176"/>
      <c r="C10" s="183" t="s">
        <v>1</v>
      </c>
      <c r="D10" s="183"/>
      <c r="E10" s="411"/>
      <c r="F10" s="411"/>
      <c r="G10" s="412" t="s">
        <v>1</v>
      </c>
      <c r="H10" s="176"/>
      <c r="I10" s="176"/>
      <c r="J10" s="176"/>
      <c r="K10" s="176"/>
      <c r="L10" s="176"/>
      <c r="M10" s="543" t="s">
        <v>1</v>
      </c>
      <c r="N10" s="335" t="s">
        <v>1</v>
      </c>
      <c r="O10" s="335"/>
      <c r="P10" s="335"/>
      <c r="Q10" s="335"/>
      <c r="R10" s="335"/>
      <c r="S10" s="335"/>
      <c r="T10" s="335"/>
      <c r="U10" s="704"/>
      <c r="V10" s="705"/>
      <c r="W10" s="173" t="s">
        <v>247</v>
      </c>
      <c r="X10" s="173"/>
      <c r="Y10" s="173"/>
      <c r="Z10" s="335"/>
      <c r="AA10" s="173"/>
      <c r="AB10" s="173"/>
      <c r="AC10" s="176"/>
      <c r="AD10" s="176"/>
      <c r="AE10" s="176"/>
      <c r="AF10" s="176"/>
      <c r="AG10" s="173" t="s">
        <v>1</v>
      </c>
      <c r="AH10" s="173" t="s">
        <v>294</v>
      </c>
      <c r="AI10" s="176"/>
      <c r="AJ10" s="176"/>
      <c r="AK10" s="176"/>
      <c r="AL10" s="176"/>
      <c r="AM10" s="176"/>
      <c r="AN10" s="176"/>
      <c r="AO10" s="176"/>
      <c r="AP10" s="406" t="s">
        <v>109</v>
      </c>
      <c r="AQ10" s="176"/>
      <c r="AR10" s="577" t="s">
        <v>236</v>
      </c>
      <c r="AS10" s="488" t="s">
        <v>1</v>
      </c>
      <c r="AT10" s="488"/>
      <c r="AU10" s="635" t="str">
        <f>IF($G$18=4,"Ld2",IF($G$18=6,"Ld2",IF($G$18=7,"Ld2",IF($C$16=$C$161,"Ld2",IF($C$16=$C$162,"Ld2",IF($C$16=$C$163,"Ld2",IF($C$16=$C$164,"Ld2",IF($C$16=$C$165,"Ld2/Ld21",IF($C$16=$C$166,"Ld2",IF($C$16=$C$167,"Ld2",IF($C$16=$C$168,"Ld21",IF($G$18=6,"Ld2",IF($G$18=7,"Ld2",IF($G$18=4,"Ld2",IF($G$18&lt;=0,"Ld2",)))))))))))))))</f>
        <v>Ld2</v>
      </c>
      <c r="AV10" s="488" t="s">
        <v>1</v>
      </c>
      <c r="AW10" s="488"/>
      <c r="AX10" s="635" t="str">
        <f>IF($G$18=4,"Ld3",IF($G$18=6,"Ld3",IF($G$18=7,"Ld3",IF($C$16=$C$161,"Ld3",IF($C$16=$C$162,"Ld3",IF($C$16=$C$163,"Ld3",IF($C$16=$C$164,"Ld3",IF($C$16=$C$164,"Ld3",IF($C$16=$C$165,"Ld3/Ld31",IF($C$16=$C$166,"Ld3",IF($C$16=$C$167,"Ld31",IF($C$16=$C$168,"Ld3",IF($G$18=6,"Ld3",IF($G$18=7,"Ld3",IF($G$18=4,"Ld3",IF($G$18&lt;=0,"",))))))))))))))))</f>
        <v>Ld3</v>
      </c>
      <c r="AY10" s="214"/>
      <c r="AZ10" s="212" t="s">
        <v>1</v>
      </c>
      <c r="BA10" s="184"/>
      <c r="BB10" s="758" t="s">
        <v>149</v>
      </c>
      <c r="BC10" s="759"/>
      <c r="BD10" s="181" t="s">
        <v>129</v>
      </c>
      <c r="BE10" s="484">
        <f ca="1">ROUNDDOWN(Tot.Head!AL49,1)</f>
        <v>19.399999999999999</v>
      </c>
      <c r="BF10" s="185" t="s">
        <v>90</v>
      </c>
      <c r="BG10" s="171"/>
      <c r="BH10" s="171"/>
      <c r="BI10" s="348">
        <f>CHOOSE(G24,15,20,25,32,40,50,65,80,100,125,150,200,250,300,400,450,600,)</f>
        <v>25</v>
      </c>
      <c r="BJ10" s="348">
        <f>CHOOSE(AR27,15,20,25,32,40,50,65,80,100,125,150,200,250,300,400,450,600,)</f>
        <v>32</v>
      </c>
      <c r="BK10" s="171"/>
      <c r="BL10" s="278"/>
      <c r="BN10" s="279" t="s">
        <v>1</v>
      </c>
    </row>
    <row r="11" spans="1:96" ht="11.25" customHeight="1" x14ac:dyDescent="0.2">
      <c r="A11" s="171"/>
      <c r="B11" s="176"/>
      <c r="C11" s="413" t="s">
        <v>1</v>
      </c>
      <c r="D11" s="413"/>
      <c r="E11" s="413"/>
      <c r="F11" s="413"/>
      <c r="G11" s="176"/>
      <c r="H11" s="176"/>
      <c r="I11" s="176"/>
      <c r="J11" s="176"/>
      <c r="K11" s="176"/>
      <c r="L11" s="176"/>
      <c r="M11" s="176"/>
      <c r="N11" s="183" t="s">
        <v>1</v>
      </c>
      <c r="O11" s="186"/>
      <c r="P11" s="173"/>
      <c r="Q11" s="173"/>
      <c r="R11" s="173"/>
      <c r="S11" s="176"/>
      <c r="T11" s="176"/>
      <c r="U11" s="654"/>
      <c r="V11" s="655"/>
      <c r="W11" s="173" t="s">
        <v>234</v>
      </c>
      <c r="X11" s="173"/>
      <c r="Y11" s="335"/>
      <c r="Z11" s="176"/>
      <c r="AA11" s="173"/>
      <c r="AB11" s="173"/>
      <c r="AC11" s="176"/>
      <c r="AD11" s="176"/>
      <c r="AE11" s="176"/>
      <c r="AF11" s="176"/>
      <c r="AG11" s="173" t="s">
        <v>1</v>
      </c>
      <c r="AH11" s="173" t="s">
        <v>293</v>
      </c>
      <c r="AI11" s="176"/>
      <c r="AJ11" s="176"/>
      <c r="AK11" s="176"/>
      <c r="AL11" s="176"/>
      <c r="AM11" s="176"/>
      <c r="AN11" s="344" t="s">
        <v>90</v>
      </c>
      <c r="AO11" s="173"/>
      <c r="AP11" s="406" t="s">
        <v>109</v>
      </c>
      <c r="AQ11" s="176"/>
      <c r="AR11" s="275">
        <v>10</v>
      </c>
      <c r="AS11" s="613" t="s">
        <v>1</v>
      </c>
      <c r="AT11" s="564"/>
      <c r="AU11" s="275">
        <v>0</v>
      </c>
      <c r="AV11" s="613" t="s">
        <v>1</v>
      </c>
      <c r="AW11" s="578"/>
      <c r="AX11" s="275">
        <v>0</v>
      </c>
      <c r="AY11" s="214"/>
      <c r="AZ11" s="173" t="s">
        <v>1</v>
      </c>
      <c r="BA11" s="172"/>
      <c r="BB11" s="763" t="str">
        <f ca="1">IF(Tot.Head!D71&gt;=Tot.Head!D72," ",IF(BE10&gt;0," ",IF(AND(BE10&lt;=0,G18=6),"Efect siphone",IF(BE10&lt;=0,"Sistem Grafitasi",))))</f>
        <v xml:space="preserve"> </v>
      </c>
      <c r="BC11" s="764"/>
      <c r="BD11" s="764"/>
      <c r="BE11" s="764"/>
      <c r="BF11" s="765"/>
      <c r="BG11" s="171"/>
      <c r="BH11" s="171"/>
      <c r="BI11" s="184" t="s">
        <v>1</v>
      </c>
      <c r="BJ11" s="348" t="e">
        <f>CHOOSE(AU27,15,20,25,32,40,50,65,80,100,125,150,200,250,300,400,450,600,)</f>
        <v>#VALUE!</v>
      </c>
      <c r="BK11" s="171"/>
      <c r="BL11" s="278"/>
      <c r="BY11" s="516"/>
      <c r="BZ11" s="519" t="s">
        <v>274</v>
      </c>
      <c r="CA11" s="519" t="s">
        <v>273</v>
      </c>
      <c r="CB11" s="519" t="s">
        <v>275</v>
      </c>
      <c r="CC11" s="519" t="s">
        <v>271</v>
      </c>
      <c r="CD11" s="516" t="s">
        <v>1</v>
      </c>
      <c r="CE11" s="516"/>
      <c r="CF11" s="516"/>
    </row>
    <row r="12" spans="1:96" ht="11.25" customHeight="1" x14ac:dyDescent="0.25">
      <c r="A12" s="171"/>
      <c r="B12" s="176"/>
      <c r="C12" s="413"/>
      <c r="D12" s="413"/>
      <c r="E12" s="413"/>
      <c r="F12" s="413"/>
      <c r="G12" s="176"/>
      <c r="H12" s="176"/>
      <c r="I12" s="176"/>
      <c r="J12" s="176"/>
      <c r="K12" s="176"/>
      <c r="L12" s="176"/>
      <c r="M12" s="176"/>
      <c r="N12" s="183"/>
      <c r="O12" s="186"/>
      <c r="P12" s="173"/>
      <c r="Q12" s="173"/>
      <c r="R12" s="173"/>
      <c r="S12" s="176"/>
      <c r="T12" s="176"/>
      <c r="U12" s="656"/>
      <c r="V12" s="657"/>
      <c r="W12" s="173" t="s">
        <v>233</v>
      </c>
      <c r="X12" s="335"/>
      <c r="Y12" s="335"/>
      <c r="Z12" s="176"/>
      <c r="AA12" s="173"/>
      <c r="AB12" s="173"/>
      <c r="AC12" s="176"/>
      <c r="AD12" s="176"/>
      <c r="AE12" s="176"/>
      <c r="AF12" s="176"/>
      <c r="AG12" s="173"/>
      <c r="AH12" s="173"/>
      <c r="AI12" s="176"/>
      <c r="AJ12" s="176"/>
      <c r="AK12" s="176"/>
      <c r="AL12" s="176"/>
      <c r="AM12" s="176"/>
      <c r="AN12" s="550"/>
      <c r="AO12" s="173"/>
      <c r="AP12" s="550"/>
      <c r="AQ12" s="550"/>
      <c r="AR12" s="602" t="s">
        <v>1</v>
      </c>
      <c r="AS12" s="614" t="s">
        <v>1</v>
      </c>
      <c r="AT12" s="550"/>
      <c r="AU12" s="603" t="s">
        <v>1</v>
      </c>
      <c r="AV12" s="615" t="s">
        <v>1</v>
      </c>
      <c r="AW12" s="550"/>
      <c r="AX12" s="581" t="s">
        <v>1</v>
      </c>
      <c r="AY12" s="582"/>
      <c r="AZ12" s="173"/>
      <c r="BA12" s="172"/>
      <c r="BB12" s="551"/>
      <c r="BC12" s="552"/>
      <c r="BD12" s="552"/>
      <c r="BE12" s="552"/>
      <c r="BF12" s="553"/>
      <c r="BG12" s="171"/>
      <c r="BH12" s="171"/>
      <c r="BI12" s="184"/>
      <c r="BJ12" s="348"/>
      <c r="BK12" s="171"/>
      <c r="BL12" s="278"/>
      <c r="BY12" s="516"/>
      <c r="BZ12" s="519"/>
      <c r="CA12" s="519"/>
      <c r="CB12" s="519"/>
      <c r="CC12" s="519"/>
      <c r="CD12" s="516"/>
      <c r="CE12" s="516"/>
      <c r="CF12" s="516"/>
    </row>
    <row r="13" spans="1:96" ht="11.25" customHeight="1" x14ac:dyDescent="0.2">
      <c r="A13" s="171"/>
      <c r="B13" s="176"/>
      <c r="C13" s="413"/>
      <c r="D13" s="413"/>
      <c r="E13" s="413"/>
      <c r="F13" s="413"/>
      <c r="G13" s="176"/>
      <c r="H13" s="176"/>
      <c r="I13" s="176"/>
      <c r="J13" s="176"/>
      <c r="K13" s="176"/>
      <c r="L13" s="176"/>
      <c r="M13" s="176"/>
      <c r="N13" s="183"/>
      <c r="O13" s="186"/>
      <c r="P13" s="173"/>
      <c r="Q13" s="173"/>
      <c r="R13" s="173"/>
      <c r="S13" s="176"/>
      <c r="T13" s="176"/>
      <c r="U13" s="176"/>
      <c r="V13" s="176"/>
      <c r="W13" s="176"/>
      <c r="X13" s="176"/>
      <c r="Y13" s="176"/>
      <c r="Z13" s="176"/>
      <c r="AA13" s="173"/>
      <c r="AB13" s="173"/>
      <c r="AC13" s="176"/>
      <c r="AD13" s="176"/>
      <c r="AE13" s="176"/>
      <c r="AF13" s="176"/>
      <c r="AG13" s="173"/>
      <c r="AH13" s="662" t="s">
        <v>270</v>
      </c>
      <c r="AI13" s="662"/>
      <c r="AJ13" s="662"/>
      <c r="AK13" s="662"/>
      <c r="AL13" s="662"/>
      <c r="AM13" s="664" t="str">
        <f>$Z$17</f>
        <v>M3/hr</v>
      </c>
      <c r="AN13" s="664"/>
      <c r="AO13" s="176"/>
      <c r="AP13" s="406" t="s">
        <v>109</v>
      </c>
      <c r="AQ13" s="176"/>
      <c r="AR13" s="576">
        <f>AR8</f>
        <v>5</v>
      </c>
      <c r="AS13" s="613" t="s">
        <v>1</v>
      </c>
      <c r="AT13" s="579"/>
      <c r="AU13" s="576">
        <f>AU8</f>
        <v>0</v>
      </c>
      <c r="AV13" s="613" t="s">
        <v>1</v>
      </c>
      <c r="AW13" s="580"/>
      <c r="AX13" s="576">
        <f>AX8</f>
        <v>0</v>
      </c>
      <c r="AY13" s="549"/>
      <c r="AZ13" s="173"/>
      <c r="BA13" s="172"/>
      <c r="BB13" s="551"/>
      <c r="BC13" s="552"/>
      <c r="BD13" s="552"/>
      <c r="BE13" s="552"/>
      <c r="BF13" s="553"/>
      <c r="BG13" s="171"/>
      <c r="BH13" s="171"/>
      <c r="BI13" s="184"/>
      <c r="BJ13" s="348"/>
      <c r="BK13" s="171"/>
      <c r="BL13" s="278"/>
      <c r="BY13" s="516"/>
      <c r="BZ13" s="519"/>
      <c r="CA13" s="519"/>
      <c r="CB13" s="519"/>
      <c r="CC13" s="519"/>
      <c r="CD13" s="516"/>
      <c r="CE13" s="516"/>
      <c r="CF13" s="516"/>
    </row>
    <row r="14" spans="1:96" ht="12.75" customHeight="1" x14ac:dyDescent="0.2">
      <c r="A14" s="171"/>
      <c r="B14" s="176"/>
      <c r="C14" s="197" t="s">
        <v>291</v>
      </c>
      <c r="D14" s="411"/>
      <c r="E14" s="212"/>
      <c r="F14" s="212"/>
      <c r="G14" s="173"/>
      <c r="H14" s="173"/>
      <c r="I14" s="173"/>
      <c r="J14" s="173"/>
      <c r="K14" s="544" t="str">
        <f>IF($G$18=4,"",IF($G$18=5,"",IF($G$18=8,"Inject press. by pump",IF($G$18&lt;4," ",IF($G$18=6," ",IF($G$18=7," ",))))))</f>
        <v xml:space="preserve"> </v>
      </c>
      <c r="L14" s="544"/>
      <c r="M14" s="544"/>
      <c r="N14" s="544"/>
      <c r="O14" s="544"/>
      <c r="P14" s="544"/>
      <c r="Q14" s="544"/>
      <c r="R14" s="544"/>
      <c r="S14" s="243"/>
      <c r="T14" s="243"/>
      <c r="U14" s="668" t="s">
        <v>263</v>
      </c>
      <c r="V14" s="668"/>
      <c r="W14" s="668"/>
      <c r="X14" s="810"/>
      <c r="Y14" s="587">
        <f>IF(Y15&lt;=190,Tot.Head!F32,IF(Y15&gt;190,"Out R",))</f>
        <v>0.43258200000000002</v>
      </c>
      <c r="Z14" s="205" t="s">
        <v>90</v>
      </c>
      <c r="AA14" s="205"/>
      <c r="AB14" s="173"/>
      <c r="AC14" s="176"/>
      <c r="AD14" s="235" t="s">
        <v>1</v>
      </c>
      <c r="AE14" s="575" t="str">
        <f>IF($G$18&lt;4,"",IF($G$18=6," ",IF($G$18=7," ",IF($G$18&gt;4,"",IF($G$18=4," ",IF($G$18&lt;=0,"",))))))</f>
        <v/>
      </c>
      <c r="AF14" s="575"/>
      <c r="AG14" s="575"/>
      <c r="AH14" s="662" t="s">
        <v>324</v>
      </c>
      <c r="AI14" s="662"/>
      <c r="AJ14" s="662"/>
      <c r="AK14" s="662"/>
      <c r="AL14" s="662"/>
      <c r="AM14" s="662"/>
      <c r="AN14" s="662"/>
      <c r="AO14" s="176"/>
      <c r="AP14" s="406" t="s">
        <v>109</v>
      </c>
      <c r="AQ14" s="575"/>
      <c r="AR14" s="583">
        <v>1</v>
      </c>
      <c r="AS14" s="659" t="s">
        <v>309</v>
      </c>
      <c r="AT14" s="660"/>
      <c r="AU14" s="272">
        <v>0</v>
      </c>
      <c r="AV14" s="659" t="s">
        <v>310</v>
      </c>
      <c r="AW14" s="660"/>
      <c r="AX14" s="272">
        <v>0</v>
      </c>
      <c r="AY14" s="616" t="s">
        <v>1</v>
      </c>
      <c r="AZ14" s="414" t="s">
        <v>1</v>
      </c>
      <c r="BA14" s="189"/>
      <c r="BB14" s="706" t="str">
        <f ca="1">IF($BE$10&lt;=0,"",IF($BE$10&gt;0,"Input, Pump Type",))</f>
        <v>Input, Pump Type</v>
      </c>
      <c r="BC14" s="707"/>
      <c r="BD14" s="349" t="str">
        <f ca="1">IF($BE$10&lt;=0," ",IF($G$18=1,":",IF($G$18=2,":",IF($G$18=3,":",IF($BE$10&gt;0,":",)))))</f>
        <v>:</v>
      </c>
      <c r="BE14" s="766" t="s">
        <v>1</v>
      </c>
      <c r="BF14" s="767"/>
      <c r="BG14" s="171"/>
      <c r="BH14" s="171"/>
      <c r="BI14" s="172"/>
      <c r="BJ14" s="348" t="e">
        <f>CHOOSE(AX27,15,20,25,32,40,50,65,80,100,125,150,200,250,300,400,450,600,)</f>
        <v>#VALUE!</v>
      </c>
      <c r="BK14" s="171"/>
      <c r="BL14" s="278"/>
      <c r="BX14" s="278">
        <v>1</v>
      </c>
      <c r="BY14" s="516" t="s">
        <v>271</v>
      </c>
      <c r="BZ14" s="517">
        <v>100000</v>
      </c>
      <c r="CA14" s="516">
        <v>14.504</v>
      </c>
      <c r="CB14" s="516">
        <v>10.196999999999999</v>
      </c>
      <c r="CC14" s="516">
        <v>1</v>
      </c>
      <c r="CD14" s="516" t="s">
        <v>1</v>
      </c>
      <c r="CE14" s="516"/>
      <c r="CF14" s="516"/>
      <c r="CK14" s="338" t="s">
        <v>299</v>
      </c>
      <c r="CL14" s="338" t="s">
        <v>300</v>
      </c>
      <c r="CM14" s="338" t="s">
        <v>301</v>
      </c>
      <c r="CO14" s="338" t="s">
        <v>1</v>
      </c>
      <c r="CP14" s="338" t="s">
        <v>1</v>
      </c>
      <c r="CQ14" s="338" t="s">
        <v>1</v>
      </c>
      <c r="CR14" s="338" t="s">
        <v>1</v>
      </c>
    </row>
    <row r="15" spans="1:96" ht="11.1" customHeight="1" x14ac:dyDescent="0.2">
      <c r="A15" s="171"/>
      <c r="B15" s="176"/>
      <c r="C15" s="197" t="s">
        <v>311</v>
      </c>
      <c r="D15" s="415"/>
      <c r="E15" s="212"/>
      <c r="F15" s="212"/>
      <c r="G15" s="173"/>
      <c r="H15" s="173"/>
      <c r="I15" s="173"/>
      <c r="J15" s="173"/>
      <c r="K15" s="544" t="s">
        <v>1</v>
      </c>
      <c r="L15" s="819" t="str">
        <f>IF($G$18=4,"",IF($G$18=5,"",IF($G$18=8,$Y$17,IF($G$18&lt;4," ",IF($G$18=6," ",IF($G$18=7," ",))))))</f>
        <v xml:space="preserve"> </v>
      </c>
      <c r="M15" s="819"/>
      <c r="N15" s="651" t="str">
        <f>IF($G$18=4,"",IF($G$18=5,"",IF($G$18=8,Z17,IF($G$18&lt;4," ",IF($G$18=6," ",IF($G$18=7," ",))))))</f>
        <v xml:space="preserve"> </v>
      </c>
      <c r="O15" s="651"/>
      <c r="P15" s="651"/>
      <c r="Q15" s="651"/>
      <c r="R15" s="544"/>
      <c r="S15" s="176"/>
      <c r="T15" s="176"/>
      <c r="U15" s="662" t="s">
        <v>264</v>
      </c>
      <c r="V15" s="662"/>
      <c r="W15" s="662"/>
      <c r="X15" s="811"/>
      <c r="Y15" s="321">
        <v>30</v>
      </c>
      <c r="Z15" s="416" t="s">
        <v>112</v>
      </c>
      <c r="AA15" s="176"/>
      <c r="AB15" s="176"/>
      <c r="AC15" s="176"/>
      <c r="AD15" s="466" t="str">
        <f>IF($G$18&lt;4,"█",IF($G$18=6," ",IF($G$18=7,"",IF($G$18&gt;4,"█",IF($G$18=4," ",IF($G$18&lt;=0,"",))))))</f>
        <v>█</v>
      </c>
      <c r="AE15" s="670" t="str">
        <f>IF($G$18=4,"",IF($G$18=6,"",IF($G$18=7,"",IF($C$16=C162,"IIIIIIIIIIIIIIIIIIIIIIIIIIIIIIIIIIIIIIIIIIIIIIIIIIIIIIIIIIIIIIIIII Ld1 IIIIIII",IF($C$16=C163,"IIIIIIIIIIIIIIIIIIIIIIIIIIIIIIIIIIIIIIIIIIIIIIIIIIIIIIIIIIIIIIIIII Ld1 IIIIIII",IF($C$16=C164,"IIIIIIIIIIIIIIIIIIIIIIIIIIIIIIIIIIIIIIIIIIIIIIIIIIIIIIIIIIIIIIIIII Ld1 IIIIIII",IF($C$16=C165,"IIIIIIIIIIIIIIIIIIIIIIIIIIIIIIIIIIIIIIIIIIIIIIIIIIIIIIIIIIIIIIIIII Ld1 IIIIIII",IF($C$16=C166,"IIIIIIIIIIIIIIIIIIIIIIIIIIIIIIIIIIIIIIIIIIIIIIIIIIIIIIIIIIIIIIIIII Ld1 IIIIIII",IF($C$16=C167,"IIIIIIIIIIIIIIIIIIIIIIIIIIIIIIIIIIIIIIIIIIIIIIIIIIIIIIIIIIIIIIIIII Ld1 IIIIIII",IF($G$18=6,"",IF($C$16=C168,"IIIIIIIIIIIIIIIIIIIIIIIIIIIIIIIIIIIIIIIIIIIIIIIIIIIIIIIIIIIIIIIIII Ld1 IIIIIII",IF($G$18=7,"",IF($G$18=4," ",IF($G$18&lt;=0,"",))))))))))))))</f>
        <v>IIIIIIIIIIIIIIIIIIIIIIIIIIIIIIIIIIIIIIIIIIIIIIIIIIIIIIIIIIIIIIIIII Ld1 IIIIIII</v>
      </c>
      <c r="AF15" s="670"/>
      <c r="AG15" s="670"/>
      <c r="AH15" s="670"/>
      <c r="AI15" s="670"/>
      <c r="AJ15" s="670"/>
      <c r="AK15" s="670"/>
      <c r="AL15" s="670"/>
      <c r="AM15" s="670"/>
      <c r="AN15" s="670"/>
      <c r="AO15" s="670"/>
      <c r="AP15" s="670"/>
      <c r="AQ15" s="670"/>
      <c r="AR15" s="670"/>
      <c r="AS15" s="629" t="str">
        <f>IF($G$18=4,"",IF($G$18=6,"",IF($G$18=7,"",IF($C$16=$C$162,"",IF($C$16=$C$163,"IIIIIIIIIIIIIIIIIIIIIIIIIIIIIII Ld2 IIIIIII",IF($C$16=$C$164,"IIIIIIIIIIIIIIIIIIIIIIIIIIIIII Ld2 IIIIIII",IF($C$16=$C$165,"IIIIIIIIIIIIIIIIIIIIIIIIIIIIII Ld2 IIIIIII",IF($C$16=$C$166,"IIIIIIIIIIIIIIIIIIIIIIIIIIIIII Ld2 IIIIIII",IF($C$16=$C$167,"IIIIIIIIIIIIIIIIIIIIIIIIIIIIII Ld2 IIIIIII",IF($C$16=$C$168,"IIIIIIIIIIIIIIIIIIIIIIIIIIIIII Ld2 IIIIIII",IF($G$18=6," ",IF($G$18=4," ",IF($G$18&lt;=0,"",)))))))))))))</f>
        <v/>
      </c>
      <c r="AT15" s="629"/>
      <c r="AU15" s="628" t="str">
        <f>IF($G$18=4,"",IF($G$18=6,"",IF($G$18=7,"",IF($C$16=$C$162,"",IF($C$16=$C$163,"IIIIIII Ld2 IIIIIII",IF($C$16=$C$164,"IIIIIII Ld2 IIIIIII",IF($C$16=$C$165,"IIIIIII Ld2 IIIIIII",IF($C$16=$C$166,"IIIIIII Ld2 IIIIIII",IF($C$16=$C$167,"IIIIIII Ld2 IIIIIII",IF($C$16=$C$168,"IIIIIII Ld2 IIIIIII",IF($G$18=6," ",IF($G$18=4," ",IF($G$18&lt;=0,"",)))))))))))))</f>
        <v/>
      </c>
      <c r="AV15" s="628" t="str">
        <f>IF($G$18=4,"",IF($G$18=6,"",IF($G$18=7,"",IF($C$16=$C$162,"",IF($C$16=$C$163,"IIIIIIIIIIIIIIIIIIIIIIIII",IF($C$16=$C$164,"IIIIIIIIIIIIIIIIIIIIIIIIIIIII Ld3 IIIIIIIIIIIIIIIIIIIIIIIIIIII",IF($C$16=$C$165,"IIIIIIIIIIIIIIIIIIIIIIIIIIIII Ld3 IIIIIIIIIIIIIIIIIIIIIIIIIIII",IF($C$16=$C$166,"IIIIIIIIIIIIIIIIIIIIIIIIIIIII Ld3 IIIIIIIIIIIIIIIIIIIIIIIIIIII",IF($C$16=$C$167,"IIIIIIIIIIIIIIIIIIIIIIIIIIIII Ld3 IIIIIIIIIIIIIIIIIIIIIIIIIIII",IF($C$16=$C$168,"IIIIIIIIIIIIIIIIIIIIIIIIIIIII Ld3 IIIIIIIIIIIIIIIIIIIIIIIIIIII",IF($G$18=6," ",IF($G$18=4," ",IF($G$18&lt;=0,"",)))))))))))))</f>
        <v/>
      </c>
      <c r="AW15" s="628"/>
      <c r="AX15" s="630" t="str">
        <f>IF($G$18=4,"",IF($G$18=6,"",IF($G$18=7,"",IF($C$16=$C$162,"",IF($C$16=$C$163,"",IF($C$16=$C$164,"IIIIIIIIIIIIIIII Ld3 IIIIIIIIIIIIIIIIIIIIIIIIIIII",IF($C$16=$C$165,"IIIIIIIIIIIIIIII Ld3 IIIIIIIIIIIIIIIIIIIIIIIIIIII",IF($C$16=$C$166,"IIIIIIIIIIIIIIII Ld3 IIIIIIIIIIIIIIIIIIIIIIIIIIII",IF($C$16=$C$167,"IIIIIIIIIIIIIIII Ld3 IIIIIIIIIIIIIIIIIIIIIIIIIIII",IF($C$16=$C$168,"IIIIIIIIIIIIIIII Ld3 IIIIIIIIIIIIIIIIIIIIIIIIIIII",IF($G$18=6," ",IF($G$18=4," ",IF($G$18&lt;=0,"",)))))))))))))</f>
        <v/>
      </c>
      <c r="AY15" s="630"/>
      <c r="AZ15" s="721" t="str">
        <f>IF($G$18=4,"",IF($G$18=6,"",IF($G$18=7,"",IF($C$16=C162,"",IF($C$16=C163,"",IF($C$16=C164,"",IF($C$16=C165," Hd IIIIIIIIIIIIIIIIIIIIIIIIIIIIIIIIIIIIIIIIIIIIIIIIIIIIIII Ld3 IIIIIIIIIIIIIIIIIIIIIIIIIIIIIIIIIIIIIIIIIIIIIIII",IF($C$16=C166," Hd IIIIIIIIIIIIIIIIIIIIIIIIIIIIIIIIIIIIIIIIIIIIIIIIIIIIIII Ld3 IIIIIIIIIIIIIIIIIIIIIIIIIIIIIIIIIIIIIIIIIIIIIIII",IF($C$16=C167,"                                             Ld3 IIIIIIIIIIIIIIIIIIIIIIIIIIIIIIIIIIIIIIIIIIIIIIIIIIIIIII",IF($C$16=C168,"                                              Ld3 IIIIIIIIIIIIIIIIIIIIIIIIIIIIIIIIIIIIIIIIIIIIIIIIIIIIIII",IF($G$18=6," ",IF($G$18=7,"",IF($G$18=4," ",IF($G$18&lt;=0,"",))))))))))))))</f>
        <v/>
      </c>
      <c r="BA15" s="171"/>
      <c r="BB15" s="706" t="str">
        <f ca="1">IF($BE$10&lt;=0,"",IF($BE$10&gt;0,"Input, NPSHr",))</f>
        <v>Input, NPSHr</v>
      </c>
      <c r="BC15" s="707"/>
      <c r="BD15" s="349" t="str">
        <f ca="1">IF($BE$10&lt;=0," ",IF($G$18=1,":",IF($G$18=2,":",IF($G$18=3,":",IF($BE$10&gt;0,":",)))))</f>
        <v>:</v>
      </c>
      <c r="BE15" s="350">
        <f>W51</f>
        <v>3</v>
      </c>
      <c r="BF15" s="351" t="str">
        <f ca="1">IF($BE$10&lt;=0,"",IF($BE$10&gt;0,"mtr",))</f>
        <v>mtr</v>
      </c>
      <c r="BG15" s="171"/>
      <c r="BH15" s="171"/>
      <c r="BI15" s="184" t="s">
        <v>1</v>
      </c>
      <c r="BJ15" s="171"/>
      <c r="BK15" s="171"/>
      <c r="BL15" s="278"/>
      <c r="BM15" s="354" t="str">
        <f>Z17</f>
        <v>M3/hr</v>
      </c>
      <c r="BX15" s="278">
        <v>1</v>
      </c>
      <c r="BY15" s="516" t="s">
        <v>272</v>
      </c>
      <c r="BZ15" s="517">
        <v>1</v>
      </c>
      <c r="CA15" s="516">
        <f>1.45*10^-4</f>
        <v>1.45E-4</v>
      </c>
      <c r="CB15" s="516">
        <f>1.02*10^-4</f>
        <v>1.0200000000000001E-4</v>
      </c>
      <c r="CC15" s="516">
        <f>10^-5</f>
        <v>1.0000000000000001E-5</v>
      </c>
      <c r="CD15" s="516" t="s">
        <v>1</v>
      </c>
      <c r="CE15" s="516"/>
      <c r="CF15" s="516"/>
      <c r="CK15" s="506">
        <f>M169</f>
        <v>10</v>
      </c>
      <c r="CL15" s="506">
        <f>X169</f>
        <v>0</v>
      </c>
      <c r="CM15" s="506">
        <f>Y169</f>
        <v>0</v>
      </c>
    </row>
    <row r="16" spans="1:96" ht="11.1" customHeight="1" x14ac:dyDescent="0.2">
      <c r="A16" s="171"/>
      <c r="B16" s="176"/>
      <c r="C16" s="817" t="s">
        <v>262</v>
      </c>
      <c r="D16" s="818"/>
      <c r="E16" s="818"/>
      <c r="F16" s="818"/>
      <c r="G16" s="818"/>
      <c r="H16" s="176"/>
      <c r="I16" s="176"/>
      <c r="J16" s="176"/>
      <c r="K16" s="176"/>
      <c r="L16" s="176"/>
      <c r="M16" s="360" t="str">
        <f>IF($G$18=4,"",IF($G$18=5,"",IF($G$18=8,G44,IF($G$18&lt;4," ",IF($G$18=6," ",IF($G$18=7," ",))))))</f>
        <v xml:space="preserve"> </v>
      </c>
      <c r="N16" s="681" t="str">
        <f>IF($G$18=4,"",IF($G$18=5,"",IF($G$18=8,"mtr",IF($G$18&lt;4," ",IF($G$18=6," ",IF($G$18=7," ",))))))</f>
        <v xml:space="preserve"> </v>
      </c>
      <c r="O16" s="681"/>
      <c r="P16" s="681"/>
      <c r="Q16" s="176"/>
      <c r="R16" s="176"/>
      <c r="S16" s="176"/>
      <c r="T16" s="176"/>
      <c r="U16" s="662" t="s">
        <v>1</v>
      </c>
      <c r="V16" s="662"/>
      <c r="W16" s="662"/>
      <c r="X16" s="214" t="s">
        <v>1</v>
      </c>
      <c r="Y16" s="353">
        <f>BN17</f>
        <v>1.388889</v>
      </c>
      <c r="Z16" s="173" t="s">
        <v>1</v>
      </c>
      <c r="AA16" s="173"/>
      <c r="AB16" s="173"/>
      <c r="AC16" s="176"/>
      <c r="AD16" s="691" t="str">
        <f>IF($G$18&lt;4,"IIIIIIIIIIIIIIIIIIIIIIIIIIII Ld1 IIIIIIIIIIIIIIIIIIIIIIIIIIIIIII",IF($G$18=6," ",IF($G$18=7," ",IF($G$18&gt;4,"IIIIIIIIIIIIIIIIIIIIIIIIIIII Ld1 IIIIIIIIIIIIIIIIIIIIIIIIIIIIIII",IF($G$18=4," ",IF($G$18&lt;=0,"",))))))</f>
        <v>IIIIIIIIIIIIIIIIIIIIIIIIIIII Ld1 IIIIIIIIIIIIIIIIIIIIIIIIIIIIIII</v>
      </c>
      <c r="AE16" s="729" t="str">
        <f>IF(G18&lt;=3,"",IF(G18=5,"",IF(G18&gt;7,"",IF(G18&gt;3,"",))))</f>
        <v/>
      </c>
      <c r="AF16" s="666" t="str">
        <f>IF($G$18&lt;=1,"----------I",IF($G$18&lt;4,"----------I",IF($G$18=6," ",IF($G$18=7,"",IF($G$18&gt;4,"----------I",IF($G$18=4,"",))))))</f>
        <v>----------I</v>
      </c>
      <c r="AG16" s="176"/>
      <c r="AH16" s="176"/>
      <c r="AI16" s="176"/>
      <c r="AJ16" s="173" t="s">
        <v>1</v>
      </c>
      <c r="AK16" s="176"/>
      <c r="AL16" s="191" t="s">
        <v>1</v>
      </c>
      <c r="AM16" s="176"/>
      <c r="AN16" s="176"/>
      <c r="AO16" s="176"/>
      <c r="AP16" s="176"/>
      <c r="AQ16" s="176"/>
      <c r="AR16" s="623" t="str">
        <f>IF($G$18=4,"",IF($G$18=6,"",IF($G$18=7,"",IF($C$16=C162,"        Hd █",IF($C$16=C163,"",IF($C$16=C164,"",IF($C$16=C165,"",IF(C16=C166,"",IF(C16=C167,"",IF(C16=C168,"",IF($G$18=6," ",IF($G$18=7,"",IF($G$18&gt;4,"",IF($G$18=4," ",IF($G$18&lt;=0,"",)))))))))))))))</f>
        <v xml:space="preserve">        Hd █</v>
      </c>
      <c r="AS16" s="624" t="str">
        <f>IF($G$18=4,"",IF($G$18=6,"",IF($G$18=7,"",IF($C$16=$C$161,"",IF($C$16=$C$162,"",IF($C$16=$C$163,"Branch 21",IF($C$16=$C$164,"Branch 21",IF($C$16=$C$165,"Trial 3",IF($C$16=$C$166,"",IF($C$16=$C$167,"",IF($C$16=$C$168,"Trial 3",IF($G$18=6,"",IF($G$18=7,"",IF($G$18=4,"",IF($G$18&lt;=0,"",)))))))))))))))</f>
        <v/>
      </c>
      <c r="AT16" s="671" t="str">
        <f>IF($G$18=4,"",IF($G$18=6,"",IF($G$18=7,"",IF($C$16=C162,"",IF($C$16=C163,"                                                                      Ld21 IIIIIIIIIIIIIIIIIIIIIIIIIIIIIIIIIIIIIIIII",IF($C$16=C164,"                                                                           Ld21 IIIIIIIIIIIIIIIIIIIIIIIIIIIIIIIIIIIIIIIIIIIII",IF($C$16=C165,"IIIIIIIIIIIIIIIIIIIIIIIIIIIIIIIIIIIIIIIIIIIIIIIIIIIIIIIIIIIIIIIIII Ld21 IIIIIIIIIIIIIIIIIIIIIIIIIIIIIIIIIIIIIIII",IF($C$16=C166,"                                                  Ld21 IIIIIIIIIIIIIIIIIIIIIIIIIIIIIIIIIIIIIIIIIIIIIIIIIIII",IF($C$16=C168,"IIIIIIIIIIIIIIIIIIIIIIIIIIIIIIIIIIIIIIIIIIIIIIIIIIIIIIIIIIIIIIIIII Ld21 IIIIIIIIIIIIIIIIIIIIIIIIIIIIIIIIIII",IF($C$16=C167,"                                                   Ld21 IIIIIIIIIIIIIIIIIIIIIIIIIIIIIIIIIIIIIIIIIIIIIIIIIII",IF($G$18=6," ",IF($G$18=7,"",IF($G$18=4," ",IF($G$18&lt;=0,"",))))))))))))))</f>
        <v/>
      </c>
      <c r="AU16" s="548" t="s">
        <v>1</v>
      </c>
      <c r="AV16" s="624" t="str">
        <f>IF($G$18=4,"",IF($G$18=6,"",IF($G$18=7,"",IF($C$16=$C$161,"",IF($C$16=$C$162,"",IF($C$16=$C$163,"Hd",IF($C$16=$C$164,"Branch 31",IF($C$16=$C$164,"",IF($C$16=$C$165,"Trial 2",IF($C$16=$C$166,"",IF($C$16=$C$167,"Trial 2",IF($C$16=$C$168,"",IF($G$18=6," ",IF($G$18=7,"",IF($G$18=4," ",IF($G$18&lt;=0,"",))))))))))))))))</f>
        <v/>
      </c>
      <c r="AW16" s="631" t="str">
        <f>IF($G$18=4,"",IF($G$18=6,"",IF($G$18=7,"",IF($C$16=$C$162,"",IF($C$16=$C$163,"█",IF($C$16=$C$164,"█",IF($C$16=$C$165,"█",IF($C$16=$C$166,"█",IF($C$16=$C$167,"█",IF($C$16=$C$168,"█",IF($G$18=6," ",IF($G$18=7,"",IF($G$18&gt;4,"",IF($G$18=4," ",IF($G$18&lt;=0,"",)))))))))))))))</f>
        <v/>
      </c>
      <c r="AX16" s="548"/>
      <c r="AY16" s="400" t="str">
        <f>IF($G$18=4,"",IF($G$18=6,"",IF($G$18=7,"",IF($C$16=$C$162,"",IF($C$16=$C$163,"",IF($C$16=$C$166,"       Trial 1",IF($C$16=$C$164,"               Hd █",IF($C$16=$C$165,"       Trial 1",IF($C$16=$C$166,"",IF($C$16=$C$167,"",IF($C$16=$C$168,"",(IF($G$18=6," ",IF($G$18=7,"",IF($G$18&gt;4,"",IF($G$18=4," ",IF($G$18&lt;=0,"",)))))))))))))))))</f>
        <v/>
      </c>
      <c r="AZ16" s="721"/>
      <c r="BA16" s="548"/>
      <c r="BB16" s="555" t="str">
        <f ca="1">IF($BE$10&lt;=0,"",IF($BE$10&gt;0,"Input, Pump Eff.",))</f>
        <v>Input, Pump Eff.</v>
      </c>
      <c r="BC16" s="548"/>
      <c r="BD16" s="556" t="str">
        <f ca="1">IF($BE$10&lt;=0," ",IF($G$18=1,":",IF($G$18=2,":",IF($G$18=3,":",IF($BE$10&gt;0,":",)))))</f>
        <v>:</v>
      </c>
      <c r="BE16" s="554">
        <f>W52</f>
        <v>70</v>
      </c>
      <c r="BF16" s="352" t="str">
        <f ca="1">IF($BE$10&lt;=0,"",IF($BE$10&gt;0,"%",))</f>
        <v>%</v>
      </c>
      <c r="BG16" s="171"/>
      <c r="BH16" s="171"/>
      <c r="BI16" s="171"/>
      <c r="BJ16" s="171"/>
      <c r="BK16" s="171"/>
      <c r="BL16" s="278"/>
      <c r="BM16" s="355">
        <f>Y17</f>
        <v>5</v>
      </c>
      <c r="BN16" s="356">
        <f>IF(BM14=BM16,BM15/3.6,IF(BM14=BM17,BM15*0.06/3.6,IF(BM14=BM18,BM15/1,IF(BM14=BM19,BM15*0.227/3.6,IF(BM14=BM21,BM15*60/3.6,IF(BM14=BM22,BM15*3600/3.6,))))))</f>
        <v>0</v>
      </c>
      <c r="BX16" s="278">
        <v>1</v>
      </c>
      <c r="BY16" s="516" t="s">
        <v>273</v>
      </c>
      <c r="BZ16" s="517">
        <v>6894.76</v>
      </c>
      <c r="CA16" s="516">
        <v>1</v>
      </c>
      <c r="CB16" s="516">
        <v>0.70299999999999996</v>
      </c>
      <c r="CC16" s="516">
        <v>6.9000000000000006E-2</v>
      </c>
      <c r="CD16" s="516" t="s">
        <v>1</v>
      </c>
      <c r="CE16" s="516"/>
      <c r="CF16" s="516"/>
    </row>
    <row r="17" spans="1:84" ht="12.75" customHeight="1" x14ac:dyDescent="0.2">
      <c r="A17" s="171"/>
      <c r="B17" s="176"/>
      <c r="C17" s="407" t="s">
        <v>2</v>
      </c>
      <c r="D17" s="407"/>
      <c r="E17" s="198"/>
      <c r="F17" s="198"/>
      <c r="G17" s="544" t="s">
        <v>1</v>
      </c>
      <c r="H17" s="198"/>
      <c r="I17" s="198"/>
      <c r="J17" s="198"/>
      <c r="K17" s="204" t="s">
        <v>1</v>
      </c>
      <c r="L17" s="727" t="str">
        <f>IF(G18=4,"_________",IF(G18=5,"_________",IF(G18=8,"_________",IF(G18&lt;4," ",IF(G18=6," ",IF(G18=7," ",))))))</f>
        <v xml:space="preserve"> </v>
      </c>
      <c r="M17" s="684" t="str">
        <f>IF(G18=4,"______",IF(G18=5,"______",IF(G18=8,"___█___",IF(G18&lt;4," ",IF(G18=6," ",IF(G18=7," ",))))))</f>
        <v xml:space="preserve"> </v>
      </c>
      <c r="N17" s="685"/>
      <c r="O17" s="685"/>
      <c r="P17" s="685"/>
      <c r="Q17" s="683" t="str">
        <f>IF(G18=4,"_______",IF(G18=5,"_______",IF(G18=8,"_________",IF(G18&lt;4," ",IF(G18=6," ",IF(G18=7," ",))))))</f>
        <v xml:space="preserve"> </v>
      </c>
      <c r="R17" s="205"/>
      <c r="S17" s="205"/>
      <c r="T17" s="205"/>
      <c r="U17" s="795" t="s">
        <v>284</v>
      </c>
      <c r="V17" s="795"/>
      <c r="W17" s="795"/>
      <c r="X17" s="796"/>
      <c r="Y17" s="337">
        <v>5</v>
      </c>
      <c r="Z17" s="715" t="s">
        <v>279</v>
      </c>
      <c r="AA17" s="716"/>
      <c r="AB17" s="173"/>
      <c r="AC17" s="176"/>
      <c r="AD17" s="691"/>
      <c r="AE17" s="729"/>
      <c r="AF17" s="666"/>
      <c r="AG17" s="176"/>
      <c r="AH17" s="419" t="str">
        <f>IF($G$18&lt;7,"Hd, Discharge Head,",IF($G$18=7,"Hd = 0 (tdk perlu diisi)",IF($G$18&gt;7,"Hd, Discharge Head,",)))</f>
        <v>Hd, Discharge Head,</v>
      </c>
      <c r="AI17" s="191"/>
      <c r="AJ17" s="191"/>
      <c r="AK17" s="191"/>
      <c r="AL17" s="191"/>
      <c r="AM17" s="191"/>
      <c r="AN17" s="606" t="s">
        <v>90</v>
      </c>
      <c r="AO17" s="176"/>
      <c r="AP17" s="173" t="s">
        <v>109</v>
      </c>
      <c r="AQ17" s="176"/>
      <c r="AR17" s="599">
        <v>5</v>
      </c>
      <c r="AS17" s="621" t="str">
        <f>IF($G$18=4,"",IF($G$18=6,"",IF($G$18=7,"",IF($C$16=C162,"",IF($C$16=C163,"Qd21",IF($C$16=C164,"Qd21",IF($C$16=C165,"Qd21",IF($C$16=C166,"Qd21",IF($C$16=C167,"Qd21",IF($C$16=C168,"Qd21",IF($G$18=6," ",IF($G$18=7,"",IF($G$18=4," ",IF($G$18&lt;=0,"",))))))))))))))</f>
        <v/>
      </c>
      <c r="AT17" s="671"/>
      <c r="AU17" s="617" t="s">
        <v>1</v>
      </c>
      <c r="AV17" s="621" t="str">
        <f>IF($G$18=4,"",IF($G$18=6,"",IF($G$18=7,"",IF($C$16=C162,"",IF($C$16=C163,"Qd2",IF($C$16=C164,"Qd31",IF($C$16=C165,"Qd31",IF($C$16=C164,"Qd31",IF($C$16=C166,"Qd31",IF($C$16=C167,"Qd31",IF($C$16=C168,"Qd31",IF($G$18=6," ",IF($G$18=7,"",IF($G$18=4," ",IF($G$18&lt;=0,"",)))))))))))))))</f>
        <v/>
      </c>
      <c r="AW17" s="665" t="str">
        <f>IF($G$18=4,"",IF($G$18=6,"",IF($G$18=7,"",IF($C$16=$C$162,"",IF($C$16=$C$163,"",IF($C$16=$C$164,"                                                                   Ld31 IIIIIIIIIIIIIIIIIIIIIIIIIIIIIIIIIIIIIIIIIII",IF($C$16=$C$165,"Hd IIIIIIIIIII Trail-2 IIIIIIIIIIIIIII Ld31 IIIIIIIIIIIIIIIIIIIIIIIIIIIIIIIIIIIIIIIIIIIIIIIIIIIIIIIIIIIIII",IF($C$16=$C$166,"                                            Ld31 IIIIIIIIIIIIIIIIIIIIIIIIIIIIIIIIIIIIIIIIIIIIIIIIIIII",IF($C$16=$C$167,"Hd IIIIIIIIIIIIIIIIIIIIIIIIIIIIIIIIIIIIIIIIIIII Ld31 IIIIIIIIIIIIIIIIIIIIIIIIIIIIIIIIIIIIIIIIIIIIIIIIIIIIIIIIIIIIII",IF($C$16=$C$168,"                                             Ld31 IIIIIIIIIIIIIIIIIIIIIIIIIIIIIIIIIIIIIIIIIIIIIIIIIIIIIIIIIIIIIIIIIII",IF($G$18=6," ",IF($G$18=7,"",IF($G$18=4," ",IF($G$18&lt;=0,"",))))))))))))))</f>
        <v/>
      </c>
      <c r="AX17" s="176"/>
      <c r="AY17" s="617" t="str">
        <f>IF($G$18=4,"",IF($G$18=6,"",IF($G$18=7,"",IF($C$16=C162,"",IF($C$16=C163,"",IF($C$16=C164,"Qd3",IF($C$16=C165,"Qd3",IF($C$16=C166,"Qd3",IF($C$16=C167,"Qd3",IF($C$16=C168,"Qd3",IF($G$18=6," ",IF($G$18=7,"",IF($G$18&gt;4,":",IF($G$18=4," ",IF($G$18&lt;=0,"",)))))))))))))))</f>
        <v/>
      </c>
      <c r="AZ17" s="721"/>
      <c r="BA17" s="172"/>
      <c r="BB17" s="192" t="s">
        <v>1</v>
      </c>
      <c r="BC17" s="193"/>
      <c r="BD17" s="176"/>
      <c r="BE17" s="176"/>
      <c r="BF17" s="194"/>
      <c r="BG17" s="171"/>
      <c r="BH17" s="171"/>
      <c r="BI17" s="171"/>
      <c r="BJ17" s="171"/>
      <c r="BK17" s="171"/>
      <c r="BL17" s="278"/>
      <c r="BM17" s="279" t="s">
        <v>225</v>
      </c>
      <c r="BN17" s="356">
        <f>BZ55</f>
        <v>1.388889</v>
      </c>
      <c r="BO17" s="279" t="str">
        <f>BY52</f>
        <v>Lps</v>
      </c>
      <c r="BP17" s="357">
        <f>BN17*3.6</f>
        <v>5.0000004000000002</v>
      </c>
      <c r="BQ17" s="279" t="s">
        <v>225</v>
      </c>
      <c r="BX17" s="278">
        <v>1</v>
      </c>
      <c r="BY17" s="516" t="s">
        <v>275</v>
      </c>
      <c r="BZ17" s="518">
        <v>9806.2999999999993</v>
      </c>
      <c r="CA17" s="516">
        <v>1.4219999999999999</v>
      </c>
      <c r="CB17" s="516">
        <v>1</v>
      </c>
      <c r="CC17" s="516">
        <v>9.8000000000000004E-2</v>
      </c>
      <c r="CD17" s="516"/>
      <c r="CE17" s="516"/>
      <c r="CF17" s="516"/>
    </row>
    <row r="18" spans="1:84" ht="12.75" customHeight="1" x14ac:dyDescent="0.2">
      <c r="A18" s="171"/>
      <c r="B18" s="176"/>
      <c r="C18" s="197" t="s">
        <v>258</v>
      </c>
      <c r="D18" s="197"/>
      <c r="E18" s="205"/>
      <c r="F18" s="173" t="s">
        <v>1</v>
      </c>
      <c r="G18" s="358">
        <f>G113</f>
        <v>1</v>
      </c>
      <c r="H18" s="173"/>
      <c r="I18" s="173"/>
      <c r="J18" s="173"/>
      <c r="K18" s="417" t="s">
        <v>1</v>
      </c>
      <c r="L18" s="727"/>
      <c r="M18" s="544" t="str">
        <f>IF($G$18=4,"Open tank",IF($G$18=5,"Open tank",IF($G$18=8,"close tank ",IF($G$18&lt;4," ",IF($G$18=6," ",IF($G$18=7," ",))))))</f>
        <v xml:space="preserve"> </v>
      </c>
      <c r="N18" s="544"/>
      <c r="O18" s="544"/>
      <c r="P18" s="544"/>
      <c r="Q18" s="683"/>
      <c r="R18" s="205"/>
      <c r="S18" s="418" t="s">
        <v>1</v>
      </c>
      <c r="T18" s="196"/>
      <c r="U18" s="196"/>
      <c r="V18" s="196"/>
      <c r="W18" s="173" t="s">
        <v>1</v>
      </c>
      <c r="X18" s="214" t="s">
        <v>1</v>
      </c>
      <c r="Y18" s="214" t="s">
        <v>1</v>
      </c>
      <c r="Z18" s="173" t="s">
        <v>1</v>
      </c>
      <c r="AA18" s="173"/>
      <c r="AB18" s="173"/>
      <c r="AC18" s="176"/>
      <c r="AD18" s="691"/>
      <c r="AE18" s="729"/>
      <c r="AF18" s="666"/>
      <c r="AG18" s="176"/>
      <c r="AH18" s="605" t="s">
        <v>312</v>
      </c>
      <c r="AI18" s="481"/>
      <c r="AJ18" s="481"/>
      <c r="AK18" s="481"/>
      <c r="AL18" s="481"/>
      <c r="AM18" s="481"/>
      <c r="AN18" s="481"/>
      <c r="AO18" s="176"/>
      <c r="AP18" s="176"/>
      <c r="AQ18" s="176"/>
      <c r="AR18" s="176"/>
      <c r="AS18" s="621" t="str">
        <f>IF($G$18=4,"",IF($G$18=6,"",IF($G$18=7,"",IF($C$16=C162,"",IF($C$16=C163,$AR$6-$AU$6,IF($C$16=C164,$AR$6-$AU$6,IF($C$16=C165,$AR$6-$AU$6,IF($C$16=C164,$AR$6-$AU$6,IF($C$16=C166,$AR$6-$AU$6,IF($C$16=C167,$AR$6-$AU$6,IF($C$16=C168,$AR$6-AU14,IF($G$18=6," ",IF($G$18=7,"",IF($G$18=4," ",IF($G$18&lt;=0,"",)))))))))))))))</f>
        <v/>
      </c>
      <c r="AT18" s="671"/>
      <c r="AU18" s="566" t="s">
        <v>1</v>
      </c>
      <c r="AV18" s="619" t="str">
        <f>IF($G$18=4,"",IF($G$18=6,"",IF($G$18=7,"",IF($C$16=C162,"",IF($C$16=C163,$AU$14,IF($C$16=C164,$AU$6-$AX$14,IF($C$16=C165,$AU$6-$AX$14,IF($C$16=C166,$AU$6-$AX$14,IF($C$16=$C$167,AU14-AX14,IF($C$16=$C$168,$AU$14-$AX$14,IF($G$18=6," ",IF($G$18=7,"",IF($G$18=4," ",IF($G$18&lt;=0,"",))))))))))))))</f>
        <v/>
      </c>
      <c r="AW18" s="665"/>
      <c r="AX18" s="176"/>
      <c r="AY18" s="621" t="str">
        <f>IF($G$18=4,"",IF($G$18=6,"",IF($G$18=7,"",IF($C$16=$C$162,"",IF($C$16=$C$163,"",IF($C$16=$C$164,$AX$14,IF($C$16=$C$165,$AX$14,IF($C$16=$C$166,$AX$14,IF($C$16=$C$167,$AX$14,IF($C$16=$C$168,$AX$14,IF($G$18=6," ",IF($G$18=7,"",IF($G$18=4," ",IF($G$18&lt;=0,"",))))))))))))))</f>
        <v/>
      </c>
      <c r="AZ18" s="721"/>
      <c r="BA18" s="171"/>
      <c r="BB18" s="768" t="str">
        <f ca="1">IF($BE$10&gt;0,"P2, pump power",IF($G$18=4," ",IF($BE$10&lt;=0," ",)))</f>
        <v>P2, pump power</v>
      </c>
      <c r="BC18" s="681"/>
      <c r="BD18" s="359" t="str">
        <f ca="1">IF($BE$10&gt;0,":",IF($BE$10&lt;=0," ",))</f>
        <v>:</v>
      </c>
      <c r="BE18" s="360">
        <f ca="1">IF($BE$10&gt;0,Tot.Head!F52,IF($BE$10&lt;=0," ",))</f>
        <v>0.37722225240000007</v>
      </c>
      <c r="BF18" s="361" t="str">
        <f ca="1">IF($BE$10&gt;0,"kW",IF($G$18=4," ",IF($BE$10&lt;=0," ",)))</f>
        <v>kW</v>
      </c>
      <c r="BG18" s="171"/>
      <c r="BH18" s="171"/>
      <c r="BI18" s="171"/>
      <c r="BJ18" s="171"/>
      <c r="BK18" s="171"/>
      <c r="BL18" s="278"/>
      <c r="BM18" s="338" t="s">
        <v>229</v>
      </c>
    </row>
    <row r="19" spans="1:84" ht="12.75" customHeight="1" x14ac:dyDescent="0.2">
      <c r="A19" s="171"/>
      <c r="B19" s="176"/>
      <c r="C19" s="731" t="s">
        <v>209</v>
      </c>
      <c r="D19" s="732"/>
      <c r="E19" s="732"/>
      <c r="F19" s="732"/>
      <c r="G19" s="733"/>
      <c r="H19" s="198"/>
      <c r="I19" s="198"/>
      <c r="J19" s="198" t="s">
        <v>1</v>
      </c>
      <c r="K19" s="673" t="str">
        <f>IF($G$18=4,"---------I ",IF($G$18=5,"---------I  ",IF($G$18=8,"---------I  ",IF($G$18&lt;4," ",IF($G$18=6," ",IF($G$18=7," ",))))))</f>
        <v xml:space="preserve"> </v>
      </c>
      <c r="L19" s="727"/>
      <c r="M19" s="728" t="str">
        <f>IF($G$18=4,"~~~~~~",IF($G$18=5,"~~~~~~",IF(G18=8,"~~~~~~",IF(G18&lt;4," ",IF(G18=6," ",IF(G18=7," ",))))))</f>
        <v xml:space="preserve"> </v>
      </c>
      <c r="N19" s="728"/>
      <c r="O19" s="728"/>
      <c r="P19" s="728"/>
      <c r="Q19" s="683"/>
      <c r="R19" s="240"/>
      <c r="S19" s="240"/>
      <c r="T19" s="240"/>
      <c r="U19" s="205"/>
      <c r="V19" s="205" t="s">
        <v>1</v>
      </c>
      <c r="W19" s="173" t="s">
        <v>1</v>
      </c>
      <c r="X19" s="214" t="s">
        <v>1</v>
      </c>
      <c r="Y19" s="214" t="s">
        <v>1</v>
      </c>
      <c r="Z19" s="173" t="s">
        <v>1</v>
      </c>
      <c r="AA19" s="176"/>
      <c r="AB19" s="176"/>
      <c r="AC19" s="176"/>
      <c r="AD19" s="691"/>
      <c r="AE19" s="729"/>
      <c r="AF19" s="667" t="str">
        <f>IF(G18=4,"",IF($G$18&lt;4,"Hg",IF($G$18=6,"",IF($G$18=7,"",IF($G$18&gt;4,"Hg",IF($G$18=4,"Hg",IF($G$18&lt;=0,"",)))))))</f>
        <v>Hg</v>
      </c>
      <c r="AG19" s="667"/>
      <c r="AH19" s="401" t="str">
        <f>IF($G$18=7,"Hg = 0 (tdk perlu diisi)",IF($G$18=4,"Hg, Geodetic Head,",IF($G$18=6,"Hg, Geodetic Head,",IF($G$18&lt;4,"Hg, Geodetic Head",IF($G$18&gt;4,"Hg, Geodetic Head",)))))</f>
        <v>Hg, Geodetic Head</v>
      </c>
      <c r="AI19" s="176"/>
      <c r="AJ19" s="176"/>
      <c r="AK19" s="176"/>
      <c r="AL19" s="176"/>
      <c r="AM19" s="176"/>
      <c r="AN19" s="606" t="s">
        <v>90</v>
      </c>
      <c r="AO19" s="176"/>
      <c r="AP19" s="173" t="s">
        <v>109</v>
      </c>
      <c r="AQ19" s="176"/>
      <c r="AR19" s="598">
        <v>10</v>
      </c>
      <c r="AS19" s="624" t="str">
        <f>IF($G$18=4,"",IF($G$18=6,"",IF($G$18=7,"",IF($C$16=$C$161,"",IF($C$16=$C$162,"",IF($C$16=$C$163,"",IF($C$16=$C$164,"",IF($C$16=$C$165,"Ld1+Ld21",IF($C$16=$C$166,"",IF($C$16=$C$167,"",IF($C$16=$C$168,"Ld1+Ld21",IF($G$18=6,"",IF($G$18=7,"",IF($G$18=4,"",IF($G$18&lt;=0,"",)))))))))))))))</f>
        <v/>
      </c>
      <c r="AT19" s="671"/>
      <c r="AU19" s="661" t="str">
        <f>IF($G$18=4,"",IF($G$18=6,"",IF($G$18=7,"",IF($C$16=$C$161,"",IF($C$16=$C$162,"",IF($C$16=$C$163,"Ld1+Ld2",IF($C$16=$C$164,"",IF($C$16=$C$164,"",IF($C$16=$C$165,"        Ld1+Ld2+Ld31",IF($C$16=$C$166,"",IF($C$16=$C$167,"        Ld1+Ld2+Ld31",IF($C$16=$C$168,"",IF($G$18=6," ",IF($G$18=7,"",IF($G$18=4," ",IF($G$18&lt;=0,"",))))))))))))))))</f>
        <v/>
      </c>
      <c r="AV19" s="661"/>
      <c r="AW19" s="665"/>
      <c r="AX19" s="674" t="str">
        <f>IF($G$18=4,"",IF($G$18=6,"",IF($G$18=7,"",IF($C$16=$C$162,"",IF($C$16=$C$163,"",IF($C$16=$C$166,"Ld1+Ld2+Ld3",IF($C$16=$C$164,"Ld1+Ld2+Ld3",IF($C$16=$C$165,"Ld1+Ld2+Ld3",IF($C$16=$C$166,"",IF($C$16=$C$167,"",IF($C$16=$C$168,"",(IF($G$18=6," ",IF($G$18=7,"",IF($G$18&gt;4,"",IF($G$18=4," ",IF($G$18&lt;=0,"",)))))))))))))))))</f>
        <v/>
      </c>
      <c r="AY19" s="674"/>
      <c r="AZ19" s="721"/>
      <c r="BA19" s="172"/>
      <c r="BB19" s="364" t="str">
        <f ca="1">BB23</f>
        <v>NPSHa</v>
      </c>
      <c r="BC19" s="196"/>
      <c r="BD19" s="362" t="str">
        <f ca="1">BD23</f>
        <v>:</v>
      </c>
      <c r="BE19" s="360">
        <f ca="1">BE23</f>
        <v>6.3545797807415489</v>
      </c>
      <c r="BF19" s="363" t="str">
        <f ca="1">BF23</f>
        <v>mtr</v>
      </c>
      <c r="BG19" s="171"/>
      <c r="BH19" s="171"/>
      <c r="BI19" s="171"/>
      <c r="BJ19" s="171"/>
      <c r="BK19" s="171"/>
      <c r="BL19" s="278"/>
      <c r="BM19" s="338" t="s">
        <v>230</v>
      </c>
      <c r="BP19" s="279" t="s">
        <v>1</v>
      </c>
      <c r="BX19" s="527">
        <f>SUM(BZ19:CC19)</f>
        <v>703</v>
      </c>
      <c r="BY19" s="523"/>
      <c r="BZ19" s="524">
        <f>SUM(BZ20:BZ24)</f>
        <v>0</v>
      </c>
      <c r="CA19" s="525">
        <f t="shared" ref="CA19:CC19" si="0">SUM(CA20:CA24)</f>
        <v>0</v>
      </c>
      <c r="CB19" s="524">
        <f t="shared" si="0"/>
        <v>703</v>
      </c>
      <c r="CC19" s="524">
        <f t="shared" si="0"/>
        <v>0</v>
      </c>
      <c r="CD19" s="278"/>
    </row>
    <row r="20" spans="1:84" ht="12.75" customHeight="1" x14ac:dyDescent="0.25">
      <c r="A20" s="171"/>
      <c r="B20" s="176"/>
      <c r="C20" s="365" t="str">
        <f>IF(G18&lt;=1,"Select of material pipe",IF(G18=2,"Select of material pipe",IF(G18=3,"Select of  material pipe",IF(G18&gt;7,"Select of  material pipe",IF(G18&gt;=4,"Select of material pipe",)))))</f>
        <v>Select of material pipe</v>
      </c>
      <c r="D20" s="197"/>
      <c r="E20" s="173"/>
      <c r="F20" s="173" t="s">
        <v>1</v>
      </c>
      <c r="G20" s="358">
        <f>G125</f>
        <v>3</v>
      </c>
      <c r="H20" s="198"/>
      <c r="I20" s="198"/>
      <c r="J20" s="198"/>
      <c r="K20" s="673"/>
      <c r="L20" s="727"/>
      <c r="M20" s="812" t="str">
        <f>IF(G18=1,"",IF(G18=2,"",IF(G18=3,"",IF(G18=6,"",IF(G18=7,"",IF(G41=0,"~~~Non valve",IF(G41=1,"~~Foot Valve",IF(G18&lt;4," ",IF(G18&gt;5," ",)))))))))</f>
        <v/>
      </c>
      <c r="N20" s="812"/>
      <c r="O20" s="812"/>
      <c r="P20" s="812"/>
      <c r="Q20" s="500" t="str">
        <f>IF($G$18=4,"IIIIIIIIIIIIIIII",IF($G$18=5,"IIIIIIIIIIIIIIII",IF(G18=8,"IIIIIIIIIIIIIIII",IF(G18&lt;4," ",IF(G18=6," ",IF(G18=7," ",))))))</f>
        <v xml:space="preserve"> </v>
      </c>
      <c r="R20" s="499"/>
      <c r="S20" s="809" t="str">
        <f>IF($G$18=4,"IIIIIIIIIIIIIIIIIIIIIIIIIIIIIIIIII",IF($G$18=5,"IIIIIIIIIIIIIIIIIIIIIIIIIIIIIIIIII",IF($G$18=8,"IIIIIIIIIIIIIIIIIIIIIIIIIIIIIIIIII",IF($G$18&lt;4," ",IF($G$18=6," ",IF($G$18=7," ",))))))</f>
        <v xml:space="preserve"> </v>
      </c>
      <c r="T20" s="420" t="str">
        <f>IF(G18=4,"",IF(G18=5,"",IF(G18&lt;4,"",IF(G18&gt;5,"",))))</f>
        <v/>
      </c>
      <c r="U20" s="662" t="s">
        <v>283</v>
      </c>
      <c r="V20" s="662"/>
      <c r="W20" s="662"/>
      <c r="X20" s="811"/>
      <c r="Y20" s="465">
        <f ca="1">ROUNDDOWN(W48,1)</f>
        <v>19.399999999999999</v>
      </c>
      <c r="Z20" s="421" t="s">
        <v>90</v>
      </c>
      <c r="AA20" s="173"/>
      <c r="AB20" s="173"/>
      <c r="AC20" s="176"/>
      <c r="AD20" s="691"/>
      <c r="AE20" s="729"/>
      <c r="AF20" s="666" t="str">
        <f>IF($G$18&lt;=1," I-----------------------------",IF($G$18&lt;4," I-----------------------------",IF($G$18=6,"I ",IF($G$18=7,"",IF($G$18&gt;4," I-----------------------------",IF($G$18=4,"I ",))))))</f>
        <v xml:space="preserve"> I-----------------------------</v>
      </c>
      <c r="AG20" s="176"/>
      <c r="AH20" s="173" t="s">
        <v>322</v>
      </c>
      <c r="AI20" s="176"/>
      <c r="AJ20" s="176"/>
      <c r="AK20" s="176"/>
      <c r="AL20" s="176"/>
      <c r="AM20" s="176"/>
      <c r="AN20" s="176"/>
      <c r="AO20" s="176"/>
      <c r="AP20" s="173" t="s">
        <v>109</v>
      </c>
      <c r="AQ20" s="176"/>
      <c r="AR20" s="712" t="s">
        <v>195</v>
      </c>
      <c r="AS20" s="713"/>
      <c r="AT20" s="671"/>
      <c r="AU20" s="712" t="s">
        <v>191</v>
      </c>
      <c r="AV20" s="713"/>
      <c r="AW20" s="665"/>
      <c r="AX20" s="712" t="s">
        <v>191</v>
      </c>
      <c r="AY20" s="713"/>
      <c r="AZ20" s="721"/>
      <c r="BA20" s="171"/>
      <c r="BB20" s="199" t="s">
        <v>1</v>
      </c>
      <c r="BC20" s="200"/>
      <c r="BD20" s="201"/>
      <c r="BE20" s="201"/>
      <c r="BF20" s="202"/>
      <c r="BG20" s="171"/>
      <c r="BH20" s="171" t="s">
        <v>1</v>
      </c>
      <c r="BI20" s="171"/>
      <c r="BJ20" s="171"/>
      <c r="BK20" s="171"/>
      <c r="BL20" s="278"/>
      <c r="BM20" s="338" t="s">
        <v>228</v>
      </c>
      <c r="BX20" s="278"/>
      <c r="BY20" s="516" t="s">
        <v>271</v>
      </c>
      <c r="BZ20" s="520">
        <f>IF(AND($CA$3="Pascal",$BY$3="Bar"),BZ14*$BX$3,0)</f>
        <v>0</v>
      </c>
      <c r="CA20" s="520">
        <f>IF(AND($CA$3="Psi",$BY$3="Bar"),CA14*$BX$3,0)</f>
        <v>0</v>
      </c>
      <c r="CB20" s="520">
        <f>IF(AND($CA$3="M (H2O)",$BY$3="Bar"),CB14*$BX$3,0)</f>
        <v>0</v>
      </c>
      <c r="CC20" s="520">
        <f>IF(AND($CA$3="Bar",$BY$3="Bar"),CC14*$BX$3,0)</f>
        <v>0</v>
      </c>
      <c r="CD20" s="278"/>
    </row>
    <row r="21" spans="1:84" ht="5.25" hidden="1" customHeight="1" x14ac:dyDescent="0.2">
      <c r="A21" s="171"/>
      <c r="B21" s="176"/>
      <c r="C21" s="173" t="s">
        <v>110</v>
      </c>
      <c r="D21" s="173"/>
      <c r="E21" s="173"/>
      <c r="F21" s="173" t="s">
        <v>109</v>
      </c>
      <c r="G21" s="203">
        <v>7</v>
      </c>
      <c r="H21" s="173"/>
      <c r="I21" s="176"/>
      <c r="J21" s="176"/>
      <c r="K21" s="673"/>
      <c r="L21" s="727"/>
      <c r="M21" s="176"/>
      <c r="N21" s="176"/>
      <c r="O21" s="204"/>
      <c r="P21" s="204"/>
      <c r="Q21" s="176"/>
      <c r="R21" s="176"/>
      <c r="S21" s="809"/>
      <c r="T21" s="422"/>
      <c r="U21" s="229"/>
      <c r="V21" s="176"/>
      <c r="W21" s="176"/>
      <c r="X21" s="176"/>
      <c r="Y21" s="176"/>
      <c r="Z21" s="176"/>
      <c r="AA21" s="176"/>
      <c r="AB21" s="176"/>
      <c r="AC21" s="176"/>
      <c r="AD21" s="691"/>
      <c r="AE21" s="729"/>
      <c r="AF21" s="66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593"/>
      <c r="AS21" s="591"/>
      <c r="AT21" s="671"/>
      <c r="AU21" s="590"/>
      <c r="AV21" s="591"/>
      <c r="AW21" s="665"/>
      <c r="AX21" s="590"/>
      <c r="AY21" s="594"/>
      <c r="AZ21" s="721"/>
      <c r="BA21" s="171"/>
      <c r="BB21" s="177" t="s">
        <v>1</v>
      </c>
      <c r="BC21" s="177"/>
      <c r="BD21" s="172"/>
      <c r="BE21" s="172"/>
      <c r="BF21" s="172"/>
      <c r="BG21" s="171"/>
      <c r="BH21" s="171"/>
      <c r="BI21" s="171"/>
      <c r="BJ21" s="171"/>
      <c r="BK21" s="171"/>
      <c r="BL21" s="278"/>
      <c r="BM21" s="279" t="s">
        <v>226</v>
      </c>
      <c r="BX21" s="278"/>
      <c r="BY21" s="278"/>
      <c r="BZ21" s="521"/>
      <c r="CA21" s="521"/>
      <c r="CB21" s="521"/>
      <c r="CC21" s="521"/>
      <c r="CD21" s="278"/>
    </row>
    <row r="22" spans="1:84" ht="12" customHeight="1" x14ac:dyDescent="0.2">
      <c r="A22" s="171"/>
      <c r="B22" s="176"/>
      <c r="C22" s="731" t="s">
        <v>186</v>
      </c>
      <c r="D22" s="733"/>
      <c r="E22" s="196" t="s">
        <v>218</v>
      </c>
      <c r="F22" s="205" t="s">
        <v>109</v>
      </c>
      <c r="G22" s="588">
        <f>Tot.Head!F13</f>
        <v>116</v>
      </c>
      <c r="H22" s="205" t="s">
        <v>1</v>
      </c>
      <c r="I22" s="176"/>
      <c r="J22" s="410" t="s">
        <v>1</v>
      </c>
      <c r="K22" s="673"/>
      <c r="L22" s="727"/>
      <c r="M22" s="686" t="str">
        <f>IF($G$18=4,"~~~~~~",IF($G$18=5,"~~~~~~",IF(G18=8,"~~~~~~",IF(G18&lt;4,"",IF(G18=6,"",IF(G18=7,"",))))))</f>
        <v/>
      </c>
      <c r="N22" s="686"/>
      <c r="O22" s="686"/>
      <c r="P22" s="686"/>
      <c r="Q22" s="366" t="str">
        <f>IF(G18=4,"_____",IF(G18=5,"_____",IF(G18=8,"_________",IF(G18&lt;4," ",IF(G18=6," ",IF(G18=7," ",))))))</f>
        <v xml:space="preserve"> </v>
      </c>
      <c r="R22" s="206"/>
      <c r="S22" s="809"/>
      <c r="T22" s="467" t="s">
        <v>1</v>
      </c>
      <c r="U22" s="813" t="s">
        <v>282</v>
      </c>
      <c r="V22" s="813"/>
      <c r="W22" s="813"/>
      <c r="X22" s="814"/>
      <c r="Y22" s="653">
        <v>3</v>
      </c>
      <c r="Z22" s="196" t="s">
        <v>90</v>
      </c>
      <c r="AA22" s="176"/>
      <c r="AB22" s="176"/>
      <c r="AC22" s="176"/>
      <c r="AD22" s="691"/>
      <c r="AE22" s="729"/>
      <c r="AF22" s="666"/>
      <c r="AG22" s="176"/>
      <c r="AH22" s="173" t="s">
        <v>323</v>
      </c>
      <c r="AI22" s="176"/>
      <c r="AJ22" s="176"/>
      <c r="AK22" s="176"/>
      <c r="AL22" s="176"/>
      <c r="AM22" s="176"/>
      <c r="AN22" s="176"/>
      <c r="AO22" s="176"/>
      <c r="AP22" s="173" t="s">
        <v>109</v>
      </c>
      <c r="AQ22" s="176"/>
      <c r="AR22" s="712" t="s">
        <v>186</v>
      </c>
      <c r="AS22" s="713"/>
      <c r="AT22" s="671"/>
      <c r="AU22" s="712" t="s">
        <v>186</v>
      </c>
      <c r="AV22" s="713"/>
      <c r="AW22" s="665"/>
      <c r="AX22" s="712" t="s">
        <v>186</v>
      </c>
      <c r="AY22" s="713"/>
      <c r="AZ22" s="721"/>
      <c r="BA22" s="171"/>
      <c r="BB22" s="714" t="s">
        <v>1</v>
      </c>
      <c r="BC22" s="714"/>
      <c r="BD22" s="714"/>
      <c r="BE22" s="714"/>
      <c r="BF22" s="714"/>
      <c r="BG22" s="171"/>
      <c r="BH22" s="171"/>
      <c r="BI22" s="171"/>
      <c r="BJ22" s="171"/>
      <c r="BK22" s="171"/>
      <c r="BL22" s="278"/>
      <c r="BM22" s="279" t="s">
        <v>227</v>
      </c>
      <c r="BX22" s="278"/>
      <c r="BY22" s="516" t="s">
        <v>272</v>
      </c>
      <c r="BZ22" s="520">
        <f>IF(AND($CA$3="Pascal",$BY$3="Pascal"),BZ15*$BX$3,0)</f>
        <v>0</v>
      </c>
      <c r="CA22" s="522">
        <f>IF(AND($CA$3="Psi",$BY$3="pascal"),CA15*$BX$3,0)</f>
        <v>0</v>
      </c>
      <c r="CB22" s="522">
        <f>IF(AND($CA$3="M (H2O)",$BY$3="pascal"),CB15*$BX$3,0)</f>
        <v>0</v>
      </c>
      <c r="CC22" s="522">
        <f>IF(AND($CA$3="Bar",$BY$3="pascal"),CC15*$BX$3,0)</f>
        <v>0</v>
      </c>
      <c r="CD22" s="278"/>
    </row>
    <row r="23" spans="1:84" ht="12" customHeight="1" x14ac:dyDescent="0.2">
      <c r="A23" s="171"/>
      <c r="B23" s="176"/>
      <c r="C23" s="369" t="str">
        <f>IF(G18&lt;=1,"Lenght of suction pipe, Ls",IF(G18=2,"Lenght of pipe riser, Ls",IF(G18=3,"Lenght of pipe riser, Ls",IF(G18&gt;=4,"Lenght of suction pipe, Ls",))))</f>
        <v>Lenght of suction pipe, Ls</v>
      </c>
      <c r="D23" s="205"/>
      <c r="E23" s="344" t="s">
        <v>90</v>
      </c>
      <c r="F23" s="205" t="s">
        <v>109</v>
      </c>
      <c r="G23" s="275">
        <v>5</v>
      </c>
      <c r="H23" s="173" t="s">
        <v>1</v>
      </c>
      <c r="I23" s="173" t="s">
        <v>1</v>
      </c>
      <c r="J23" s="815" t="str">
        <f>IF($G$18=4,"Hs",IF($G$18=5,"Hs",IF($G$18=8,"Hs",IF($G$18&lt;4," ",IF($G$18=6," ",IF($G$18=7," ",))))))</f>
        <v xml:space="preserve"> </v>
      </c>
      <c r="K23" s="815"/>
      <c r="L23" s="815"/>
      <c r="M23" s="667" t="s">
        <v>1</v>
      </c>
      <c r="N23" s="667"/>
      <c r="O23" s="612"/>
      <c r="P23" s="204"/>
      <c r="Q23" s="207" t="s">
        <v>1</v>
      </c>
      <c r="R23" s="816" t="str">
        <f>IF($G$18=4,"Ls",IF($G$18=5,"Ls",IF($G$18=8,"Ls",IF($G$18&lt;4," ",IF($G$18=6," ",IF($G$18=7," ",))))))</f>
        <v xml:space="preserve"> </v>
      </c>
      <c r="S23" s="816"/>
      <c r="T23" s="816"/>
      <c r="U23" s="813" t="s">
        <v>265</v>
      </c>
      <c r="V23" s="813"/>
      <c r="W23" s="813"/>
      <c r="X23" s="814"/>
      <c r="Y23" s="324">
        <v>70</v>
      </c>
      <c r="Z23" s="196" t="s">
        <v>11</v>
      </c>
      <c r="AA23" s="176"/>
      <c r="AB23" s="176"/>
      <c r="AC23" s="176"/>
      <c r="AD23" s="691"/>
      <c r="AE23" s="729"/>
      <c r="AF23" s="666"/>
      <c r="AG23" s="176"/>
      <c r="AH23" s="173" t="s">
        <v>1</v>
      </c>
      <c r="AI23" s="173"/>
      <c r="AJ23" s="176"/>
      <c r="AK23" s="176"/>
      <c r="AL23" s="176"/>
      <c r="AM23" s="176"/>
      <c r="AN23" s="176"/>
      <c r="AO23" s="176"/>
      <c r="AP23" s="173" t="s">
        <v>1</v>
      </c>
      <c r="AQ23" s="173" t="s">
        <v>1</v>
      </c>
      <c r="AR23" s="358">
        <f>IF(AR6&gt;0,G124,IF(AR6&lt;=0,0,))</f>
        <v>3</v>
      </c>
      <c r="AS23" s="281"/>
      <c r="AT23" s="671"/>
      <c r="AU23" s="370">
        <f>IF(AU6&gt;0,U123,IF(AU6&lt;=0,0,))</f>
        <v>0</v>
      </c>
      <c r="AV23" s="281" t="s">
        <v>1</v>
      </c>
      <c r="AW23" s="665"/>
      <c r="AX23" s="370">
        <f>IF(AX6&gt;0,U122,IF(AX6&lt;=0,0,))</f>
        <v>0</v>
      </c>
      <c r="AY23" s="423"/>
      <c r="AZ23" s="721"/>
      <c r="BA23" s="171"/>
      <c r="BB23" s="371" t="str">
        <f ca="1">IF(BE10&lt;=0,"",IF($G$18=1,"NPSHa",IF($G$18=2,"NPSHa ",IF($G$18=3,"NPSHa  ",IF(Tot.Head!$F$58&lt;Tot.Head!$F$59,"NPSHa",IF(BE23&gt;BE24,"NPSHa ",IF($G$18=5,"NPSHa",)))))))</f>
        <v>NPSHa</v>
      </c>
      <c r="BC23" s="209"/>
      <c r="BD23" s="367" t="str">
        <f ca="1">IF(BE10&lt;=0,"",IF($G$18=1,":",IF($G$18=2,": ",IF($G$18=3,": ",IF(BE23&gt;BE24,": ",IF($G$18=5,":",IF(Tot.Head!$F$58&lt;Tot.Head!$F$59,":")))))))</f>
        <v>:</v>
      </c>
      <c r="BE23" s="367">
        <f ca="1">IF(BE10&lt;=0,"",IF($G$18=1,Tot.Head!$F$58,IF($G$18=6,Tot.Head!$F$58,IF($G$18=2,Tot.Head!$F$58,IF($G$18=3,Tot.Head!$F$58,IF(Tot.Head!$F$58&gt;Tot.Head!$F$59,Tot.Head!$F$58,IF($G$18=5,Tot.Head!$F$58,IF(Tot.Head!$F$58&lt;Tot.Head!$F$59,Tot.Head!$F$58,))))))))</f>
        <v>6.3545797807415489</v>
      </c>
      <c r="BF23" s="368" t="str">
        <f ca="1">IF(BE10&lt;=0,"",IF($G$18=1,"mtr",IF($G$18=2,"mtr ",IF($G$18=3,"mtr ",IF(BE23&gt;BE24,"mtr",IF($G$18=5,"mtr",IF(Tot.Head!$F$58&lt;Tot.Head!$F$59,"mtr",)))))))</f>
        <v>mtr</v>
      </c>
      <c r="BG23" s="171"/>
      <c r="BH23" s="171"/>
      <c r="BI23" s="171"/>
      <c r="BJ23" s="171"/>
      <c r="BK23" s="171"/>
      <c r="BL23" s="278"/>
      <c r="BM23" s="339" t="s">
        <v>23</v>
      </c>
      <c r="BX23" s="278"/>
      <c r="BY23" s="516" t="s">
        <v>273</v>
      </c>
      <c r="BZ23" s="520">
        <f>IF(AND($CA$3="Pascal",$BY$3="Psi"),BZ16*$BX$3,0)</f>
        <v>0</v>
      </c>
      <c r="CA23" s="520">
        <f>IF(AND($CA$3="Psi",$BY$3="Psi"),CA16*$BX$3,0)</f>
        <v>0</v>
      </c>
      <c r="CB23" s="520">
        <f>IF(AND($CA$3="M (H2O)",$BY$3="Psi"),CB16*$BX$3,0)</f>
        <v>703</v>
      </c>
      <c r="CC23" s="520">
        <f>IF(AND($CA$3="Bar",$BY$3="Psi"),CC16*$BX$3,0)</f>
        <v>0</v>
      </c>
      <c r="CD23" s="278"/>
    </row>
    <row r="24" spans="1:84" ht="12.75" customHeight="1" x14ac:dyDescent="0.2">
      <c r="A24" s="171"/>
      <c r="B24" s="176"/>
      <c r="C24" s="365" t="str">
        <f>IF(G$18&lt;=1,"Select of nominal diameter pipe",IF(G$18=2,"Select of nominal diameter pipe",IF(G$18=3,"Select of nominal diameter pipe",IF(G$18&gt;7,"Select of nominal diameter pipe",IF(G$18&gt;=4,"Select of nominal diameter pipe",)))))</f>
        <v>Select of nominal diameter pipe</v>
      </c>
      <c r="D24" s="197"/>
      <c r="E24" s="210"/>
      <c r="F24" s="173" t="s">
        <v>1</v>
      </c>
      <c r="G24" s="358">
        <f>M138</f>
        <v>3</v>
      </c>
      <c r="H24" s="173"/>
      <c r="I24" s="176"/>
      <c r="J24" s="808" t="str">
        <f>IF($G$18=4,$G$34,IF($G$18=5,$G$34,IF($G$18=8,$G$34,IF($G$18&lt;4," ",IF($G$18=6," ",IF($G$18=7," ",))))))</f>
        <v xml:space="preserve"> </v>
      </c>
      <c r="K24" s="808"/>
      <c r="L24" s="808"/>
      <c r="M24" s="607" t="s">
        <v>1</v>
      </c>
      <c r="N24" s="611" t="s">
        <v>1</v>
      </c>
      <c r="O24" s="611"/>
      <c r="P24" s="794" t="str">
        <f>IF($G$18=4,$G$23,IF($G$18=5,$G$23,IF($G$18=8,$G$23,IF($G$18&lt;4," ",IF($G$18=6," ",IF($G$18=7," ",))))))</f>
        <v xml:space="preserve"> </v>
      </c>
      <c r="Q24" s="794"/>
      <c r="R24" s="794"/>
      <c r="S24" s="794"/>
      <c r="T24" s="794"/>
      <c r="U24" s="813" t="s">
        <v>266</v>
      </c>
      <c r="V24" s="813"/>
      <c r="W24" s="813"/>
      <c r="X24" s="814"/>
      <c r="Y24" s="464">
        <f ca="1">W54</f>
        <v>0.37722225240000007</v>
      </c>
      <c r="Z24" s="196" t="s">
        <v>105</v>
      </c>
      <c r="AA24" s="176"/>
      <c r="AB24" s="176"/>
      <c r="AC24" s="176"/>
      <c r="AD24" s="691"/>
      <c r="AE24" s="729"/>
      <c r="AF24" s="666"/>
      <c r="AG24" s="176"/>
      <c r="AH24" s="668" t="s">
        <v>259</v>
      </c>
      <c r="AI24" s="669"/>
      <c r="AJ24" s="669"/>
      <c r="AK24" s="669"/>
      <c r="AL24" s="669"/>
      <c r="AM24" s="669"/>
      <c r="AN24" s="669"/>
      <c r="AO24" s="213"/>
      <c r="AP24" s="173" t="s">
        <v>109</v>
      </c>
      <c r="AQ24" s="424" t="s">
        <v>1</v>
      </c>
      <c r="AR24" s="584">
        <f>Tot.Head!$F$24</f>
        <v>119</v>
      </c>
      <c r="AS24" s="214"/>
      <c r="AT24" s="671"/>
      <c r="AU24" s="585">
        <f>Tot.Head!H24</f>
        <v>0</v>
      </c>
      <c r="AV24" s="214"/>
      <c r="AW24" s="665"/>
      <c r="AX24" s="585">
        <f>Tot.Head!J24</f>
        <v>0</v>
      </c>
      <c r="AY24" s="214"/>
      <c r="AZ24" s="721"/>
      <c r="BA24" s="188"/>
      <c r="BB24" s="372" t="str">
        <f ca="1">IF(BE10&lt;=0,"",IF($G$18=1,"NPSHr",IF($G$18=2,"NPSHr ",IF($G$18=3,"NPSHr",IF(Tot.Head!$F$58&lt;Tot.Head!$F$59,"NPSHr",IF(BE23&gt;BE24,"NPSHr ",IF($G$18=5,"NPSHr",)))))))</f>
        <v>NPSHr</v>
      </c>
      <c r="BC24" s="215"/>
      <c r="BD24" s="215"/>
      <c r="BE24" s="373">
        <f ca="1">IF(BE10&lt;=0,"",IF($G$18=1,BE15,IF(Tot.Head!$F$58&lt;Tot.Head!$F$59,Tot.Head!$F$59,IF(Tot.Head!$F$58&gt;Tot.Head!$F$59,Tot.Head!$F$59,IF($G18=5,BE15,)))))</f>
        <v>3</v>
      </c>
      <c r="BF24" s="216"/>
      <c r="BG24" s="171"/>
      <c r="BH24" s="171"/>
      <c r="BI24" s="171"/>
      <c r="BJ24" s="171"/>
      <c r="BK24" s="171"/>
      <c r="BL24" s="278"/>
      <c r="BX24" s="278"/>
      <c r="BY24" s="516" t="s">
        <v>275</v>
      </c>
      <c r="BZ24" s="520">
        <f>IF(AND($CA$3="Pascal",$BY$3="M (H2O)"),BZ17*$BX$3,0)</f>
        <v>0</v>
      </c>
      <c r="CA24" s="520">
        <f>IF(AND($CA$3="Psi",$BY$3="M (H2O)"),CA17*$BX$3,0)</f>
        <v>0</v>
      </c>
      <c r="CB24" s="520">
        <f>IF(AND($CA$3="M (H2O)",$BY$3="M (H2O)"),CB17*$BX$3,0)</f>
        <v>0</v>
      </c>
      <c r="CC24" s="520">
        <f>IF(AND($CA$3="Bar",$BY$3="M (H2O)"),CC17*$BX$3,0)</f>
        <v>0</v>
      </c>
      <c r="CD24" s="278"/>
    </row>
    <row r="25" spans="1:84" ht="5.25" hidden="1" customHeight="1" thickBot="1" x14ac:dyDescent="0.25">
      <c r="A25" s="171"/>
      <c r="B25" s="176"/>
      <c r="C25" s="173"/>
      <c r="D25" s="173"/>
      <c r="E25" s="173"/>
      <c r="F25" s="173"/>
      <c r="G25" s="273"/>
      <c r="H25" s="173"/>
      <c r="I25" s="217"/>
      <c r="J25" s="176"/>
      <c r="K25" s="609"/>
      <c r="L25" s="176"/>
      <c r="M25" s="176"/>
      <c r="N25" s="176"/>
      <c r="O25" s="176"/>
      <c r="P25" s="176"/>
      <c r="Q25" s="207"/>
      <c r="R25" s="207"/>
      <c r="S25" s="610"/>
      <c r="T25" s="470"/>
      <c r="U25" s="229"/>
      <c r="V25" s="218"/>
      <c r="W25" s="176"/>
      <c r="X25" s="176"/>
      <c r="Y25" s="176"/>
      <c r="Z25" s="176"/>
      <c r="AA25" s="176"/>
      <c r="AB25" s="176"/>
      <c r="AC25" s="176"/>
      <c r="AD25" s="691"/>
      <c r="AE25" s="729"/>
      <c r="AF25" s="666"/>
      <c r="AG25" s="176"/>
      <c r="AH25" s="176"/>
      <c r="AI25" s="176"/>
      <c r="AJ25" s="219"/>
      <c r="AK25" s="176"/>
      <c r="AL25" s="176"/>
      <c r="AM25" s="176"/>
      <c r="AN25" s="176"/>
      <c r="AO25" s="176"/>
      <c r="AP25" s="220"/>
      <c r="AQ25" s="176"/>
      <c r="AR25" s="173"/>
      <c r="AS25" s="176"/>
      <c r="AT25" s="671"/>
      <c r="AU25" s="176"/>
      <c r="AV25" s="176"/>
      <c r="AW25" s="665"/>
      <c r="AX25" s="176"/>
      <c r="AY25" s="214"/>
      <c r="AZ25" s="721"/>
      <c r="BA25" s="171"/>
      <c r="BB25" s="221" t="s">
        <v>1</v>
      </c>
      <c r="BC25" s="222"/>
      <c r="BD25" s="223"/>
      <c r="BE25" s="222"/>
      <c r="BF25" s="224"/>
      <c r="BG25" s="171"/>
      <c r="BH25" s="171"/>
      <c r="BI25" s="171"/>
      <c r="BJ25" s="171"/>
      <c r="BK25" s="171"/>
      <c r="BL25" s="278"/>
      <c r="BX25" s="278"/>
      <c r="BY25" s="278"/>
      <c r="BZ25" s="278"/>
      <c r="CA25" s="278"/>
      <c r="CB25" s="278"/>
      <c r="CC25" s="278"/>
      <c r="CD25" s="278"/>
    </row>
    <row r="26" spans="1:84" ht="3.75" hidden="1" customHeight="1" x14ac:dyDescent="0.2">
      <c r="A26" s="171"/>
      <c r="B26" s="176"/>
      <c r="C26" s="173" t="s">
        <v>1</v>
      </c>
      <c r="D26" s="173"/>
      <c r="E26" s="173"/>
      <c r="F26" s="173"/>
      <c r="G26" s="273"/>
      <c r="H26" s="173"/>
      <c r="I26" s="217"/>
      <c r="J26" s="225"/>
      <c r="K26" s="609"/>
      <c r="L26" s="176"/>
      <c r="M26" s="176"/>
      <c r="N26" s="226"/>
      <c r="O26" s="176"/>
      <c r="P26" s="176"/>
      <c r="Q26" s="207"/>
      <c r="R26" s="207"/>
      <c r="S26" s="610"/>
      <c r="T26" s="470"/>
      <c r="U26" s="229"/>
      <c r="V26" s="218"/>
      <c r="W26" s="176"/>
      <c r="X26" s="176"/>
      <c r="Y26" s="176"/>
      <c r="Z26" s="176"/>
      <c r="AA26" s="176"/>
      <c r="AB26" s="176"/>
      <c r="AC26" s="176"/>
      <c r="AD26" s="691"/>
      <c r="AE26" s="729"/>
      <c r="AF26" s="66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3"/>
      <c r="AS26" s="176"/>
      <c r="AT26" s="671"/>
      <c r="AU26" s="176"/>
      <c r="AV26" s="176"/>
      <c r="AW26" s="665"/>
      <c r="AX26" s="176"/>
      <c r="AY26" s="214"/>
      <c r="AZ26" s="721"/>
      <c r="BA26" s="171"/>
      <c r="BB26" s="221" t="s">
        <v>1</v>
      </c>
      <c r="BC26" s="222"/>
      <c r="BD26" s="223"/>
      <c r="BE26" s="222"/>
      <c r="BF26" s="224"/>
      <c r="BG26" s="171"/>
      <c r="BH26" s="171"/>
      <c r="BI26" s="171"/>
      <c r="BJ26" s="171"/>
      <c r="BK26" s="171"/>
      <c r="BL26" s="278"/>
      <c r="BX26" s="278"/>
      <c r="BY26" s="278"/>
      <c r="BZ26" s="278"/>
      <c r="CA26" s="278"/>
      <c r="CB26" s="278"/>
      <c r="CC26" s="278"/>
      <c r="CD26" s="278"/>
    </row>
    <row r="27" spans="1:84" ht="13.5" customHeight="1" x14ac:dyDescent="0.2">
      <c r="A27" s="171"/>
      <c r="B27" s="176"/>
      <c r="C27" s="731" t="s">
        <v>194</v>
      </c>
      <c r="D27" s="733"/>
      <c r="E27" s="196"/>
      <c r="F27" s="211"/>
      <c r="G27" s="375">
        <f>IF(G29="t",BI10,IF(G29="T",BI10,IF(G29="y",G28,IF(G29="Y",G28,))))</f>
        <v>25</v>
      </c>
      <c r="H27" s="173" t="s">
        <v>1</v>
      </c>
      <c r="I27" s="176"/>
      <c r="J27" s="815" t="str">
        <f>IF($G$18=4,"mtr",IF($G$18=5,"mtr",IF($G$18=8,"mtr",IF($G$18&lt;4," ",IF($G$18=6," ",IF($G$18=7," ",))))))</f>
        <v xml:space="preserve"> </v>
      </c>
      <c r="K27" s="815"/>
      <c r="L27" s="815"/>
      <c r="M27" s="473" t="str">
        <f>IF(G21=4,G37,IF(G21=5,G37,IF(G21=8,G37,IF(G21&lt;4," ",IF(G21=6," ",IF(G21=7," ",))))))</f>
        <v xml:space="preserve"> </v>
      </c>
      <c r="N27" s="611" t="str">
        <f>IF($G$18=4,$G$23,IF($G$18=5,$G$23,IF($G$18=8,$G$23,IF($G$18&lt;4," ",IF($G$18=6," ",IF($G$18=7," ",))))))</f>
        <v xml:space="preserve"> </v>
      </c>
      <c r="O27" s="217"/>
      <c r="P27" s="217"/>
      <c r="Q27" s="207"/>
      <c r="R27" s="482" t="s">
        <v>1</v>
      </c>
      <c r="S27" s="809" t="str">
        <f t="shared" ref="S27" si="1">IF($G$18=4,"IIIIIIIIIIIIIIIIIIIIIIIIIIIIIIIIII",IF($G$18=5,"IIIIIIIIIIIIIIIIIIIIIIIIIIIIIIIIII",IF($G$18=8,"IIIIIIIIIIIIIIIIIIIIIIIIIIIIIIIIII",IF($G$18&lt;4," ",IF($G$18=6," ",IF($G$18=7," ",))))))</f>
        <v xml:space="preserve"> </v>
      </c>
      <c r="T27" s="470"/>
      <c r="U27" s="789" t="str">
        <f ca="1">IF($Y$20&gt;0,"Actual P1 motor/diesel, select by ",IF($Y$20&lt;=0,"",))</f>
        <v xml:space="preserve">Actual P1 motor/diesel, select by </v>
      </c>
      <c r="V27" s="789"/>
      <c r="W27" s="789"/>
      <c r="X27" s="789"/>
      <c r="Y27" s="789"/>
      <c r="Z27" s="789"/>
      <c r="AA27" s="789"/>
      <c r="AB27" s="176"/>
      <c r="AC27" s="176"/>
      <c r="AD27" s="691"/>
      <c r="AE27" s="729"/>
      <c r="AF27" s="666"/>
      <c r="AG27" s="210" t="s">
        <v>1</v>
      </c>
      <c r="AH27" s="173" t="s">
        <v>1</v>
      </c>
      <c r="AI27" s="176"/>
      <c r="AJ27" s="176"/>
      <c r="AK27" s="176"/>
      <c r="AL27" s="176"/>
      <c r="AM27" s="176"/>
      <c r="AN27" s="176"/>
      <c r="AO27" s="176"/>
      <c r="AP27" s="173" t="s">
        <v>1</v>
      </c>
      <c r="AQ27" s="176"/>
      <c r="AR27" s="358">
        <f>W138</f>
        <v>4</v>
      </c>
      <c r="AS27" s="282"/>
      <c r="AT27" s="671"/>
      <c r="AU27" s="370">
        <f>Y138</f>
        <v>0</v>
      </c>
      <c r="AV27" s="282"/>
      <c r="AW27" s="665"/>
      <c r="AX27" s="370">
        <f>AA138</f>
        <v>0</v>
      </c>
      <c r="AY27" s="423"/>
      <c r="AZ27" s="721"/>
      <c r="BA27" s="171"/>
      <c r="BB27" s="769" t="str">
        <f ca="1">IF(BE10&lt;=0,"",IF(Tot.Head!$F$58&gt;Tot.Head!$F$59,"NPSHa &gt; NPSHr",IF(Tot.Head!$F$58&lt;Tot.Head!$F$59,"NPSHa &lt; NPSHr",)))</f>
        <v>NPSHa &gt; NPSHr</v>
      </c>
      <c r="BC27" s="770"/>
      <c r="BD27" s="770"/>
      <c r="BE27" s="770"/>
      <c r="BF27" s="771"/>
      <c r="BG27" s="171"/>
      <c r="BH27" s="171"/>
      <c r="BI27" s="171"/>
      <c r="BJ27" s="171"/>
      <c r="BK27" s="171"/>
      <c r="BL27" s="278"/>
      <c r="BX27" s="528" t="s">
        <v>1</v>
      </c>
      <c r="BY27" s="278"/>
      <c r="BZ27" s="278"/>
      <c r="CA27" s="278"/>
      <c r="CB27" s="278"/>
      <c r="CC27" s="278"/>
      <c r="CD27" s="278"/>
    </row>
    <row r="28" spans="1:84" ht="11.25" customHeight="1" x14ac:dyDescent="0.2">
      <c r="A28" s="171"/>
      <c r="B28" s="176"/>
      <c r="C28" s="374" t="str">
        <f>IF(G$18&lt;=1,"Inner diametr suction pipe",IF(G$18=2,"Inner diametr riser pipe",IF(G$18=3,"inner diametr riser pipe",IF(G$18&gt;7,"Inner diametr suction pipe",IF(G$18&gt;=4,"Inner diametr suction pipe",)))))</f>
        <v>Inner diametr suction pipe</v>
      </c>
      <c r="D28" s="227"/>
      <c r="E28" s="425" t="s">
        <v>89</v>
      </c>
      <c r="F28" s="205" t="s">
        <v>109</v>
      </c>
      <c r="G28" s="589">
        <f>Tot.Head!G10</f>
        <v>27.3</v>
      </c>
      <c r="H28" s="173" t="s">
        <v>1</v>
      </c>
      <c r="I28" s="176"/>
      <c r="J28" s="176"/>
      <c r="K28" s="673" t="str">
        <f>IF($G$18=4,"  I------------------------------",IF($G$18=5," I-----------------------------I",IF($G$18=8," I-------------------",IF($G$18&lt;4," ",IF($G$18=6," ",IF($G$18=7," ",))))))</f>
        <v xml:space="preserve"> </v>
      </c>
      <c r="L28" s="173" t="s">
        <v>248</v>
      </c>
      <c r="M28" s="176"/>
      <c r="N28" s="176"/>
      <c r="O28" s="217"/>
      <c r="P28" s="217"/>
      <c r="Q28" s="207"/>
      <c r="R28" s="750" t="str">
        <f>IF(G18&lt;=1,"",IF(G18=2,"",IF(G18=3,"",IF(G18=6,"",IF(G18=8,"",IF(G18&gt;1,"",))))))</f>
        <v/>
      </c>
      <c r="S28" s="809"/>
      <c r="T28" s="471" t="str">
        <f ca="1">IF($BE$10&lt;=0,"",IF($G$18=2,"",IF($G$18=3,"",IF($G$18=7,"",IF(D18&gt;=5,"",IF($G$18=1,"",IF($BE$10&gt;0,"",)))))))</f>
        <v/>
      </c>
      <c r="U28" s="789" t="str">
        <f ca="1">IF($Y$20&gt;0,"Pump curve with Q &amp; H above",IF($Y$20&lt;=0,"",))</f>
        <v>Pump curve with Q &amp; H above</v>
      </c>
      <c r="V28" s="789"/>
      <c r="W28" s="789"/>
      <c r="X28" s="789"/>
      <c r="Y28" s="789"/>
      <c r="Z28" s="789"/>
      <c r="AA28" s="789"/>
      <c r="AB28" s="176"/>
      <c r="AC28" s="176"/>
      <c r="AD28" s="691"/>
      <c r="AE28" s="729"/>
      <c r="AF28" s="666"/>
      <c r="AG28" s="211" t="s">
        <v>1</v>
      </c>
      <c r="AH28" s="205" t="s">
        <v>1</v>
      </c>
      <c r="AI28" s="426"/>
      <c r="AJ28" s="426"/>
      <c r="AK28" s="426"/>
      <c r="AL28" s="426"/>
      <c r="AM28" s="426"/>
      <c r="AN28" s="425" t="s">
        <v>1</v>
      </c>
      <c r="AO28" s="426"/>
      <c r="AP28" s="205" t="s">
        <v>1</v>
      </c>
      <c r="AQ28" s="426"/>
      <c r="AR28" s="370">
        <f>IF(AR30="t",BJ10,IF(AR30="T",BJ10,IF(AR30="y",AR29,IF(AR30="Y",AR29,))))</f>
        <v>32</v>
      </c>
      <c r="AS28" s="624" t="str">
        <f>IF($G$18=4,"",IF($G$18=6,"",IF($G$18=7,"",IF($C$16=$C$161,"",IF($C$16=$C$162,"",IF($C$16=$C$163,"",IF($C$16=$C$164,"",IF($C$16=$C$165,"Branch 21",IF($C$16=$C$166,"",IF($C$16=$C$167,"",IF($C$16=$C$168,"Branch 21",IF($G$18=6,"",IF($G$18=7,"",IF($G$18=4,"",IF($G$18&lt;=0,"",)))))))))))))))</f>
        <v/>
      </c>
      <c r="AT28" s="671"/>
      <c r="AU28" s="370">
        <f>IF(AU30="Y",AU29,IF(AU27&gt;0,BJ11,IF(AU27&lt;=0,AR28,IF(AU30="T",BJ11,IF(AU30="Y",AU29,IF(AU27&gt;0,BJ11,))))))</f>
        <v>32</v>
      </c>
      <c r="AV28" s="624" t="str">
        <f>IF($G$18=4,"",IF($G$18=6,"",IF($G$18=7,"",IF($C$16=$C$161,"",IF($C$16=$C$162,"",IF($C$16=$C$163,"",IF($C$16=$C$164,"",IF($C$16=$C$164,"",IF($C$16=$C$165,"Branch 31",IF($C$16=$C$166,"",IF($C$16=$C$167,"Branch 31",IF($C$16=$C$168,"",IF($G$18=6," ",IF($G$18=7,"",IF($G$18=4," ",IF($G$18&lt;=0,"",))))))))))))))))</f>
        <v/>
      </c>
      <c r="AW28" s="665"/>
      <c r="AX28" s="358">
        <f>IF(AX27&lt;=0,AR28,IF(AX30="T",BJ14,IF(AX30="Y",AX29,IF(AX27&gt;0,BJ14,))))</f>
        <v>32</v>
      </c>
      <c r="AY28" s="618" t="str">
        <f>IF($G$18=4,"",IF($G$18=6,"",IF($G$18=7,"",IF($C$16=$C$162,"",IF($C$16=$C$163,"",IF($C$16=$C$166,"     Branch 3",IF($C$16=$C$164,"",IF($C$16=$C$165,"     Branch 3",IF($C$16=$C$166,"     Branch 1",IF($C$16=$C$167,"",IF($C$16=$C$168,"",(IF($G$18=6," ",IF($G$18=7,"",IF($G$18&gt;4,"",IF($G$18=4," ",IF($G$18&lt;=0,"",)))))))))))))))))</f>
        <v/>
      </c>
      <c r="AZ28" s="721"/>
      <c r="BA28" s="172"/>
      <c r="BB28" s="760" t="str">
        <f ca="1">IF(BE10&lt;=0,"",IF(Tot.Head!$F$58&gt;Tot.Head!$F$59,"NO  CAVITATION",IF(Tot.Head!$F$58&lt;Tot.Head!$F$59,"CAVITATION !!",)))</f>
        <v>NO  CAVITATION</v>
      </c>
      <c r="BC28" s="761"/>
      <c r="BD28" s="761"/>
      <c r="BE28" s="761"/>
      <c r="BF28" s="762"/>
      <c r="BG28" s="171"/>
      <c r="BH28" s="171"/>
      <c r="BI28" s="171"/>
      <c r="BJ28" s="171"/>
      <c r="BK28" s="171"/>
      <c r="BL28" s="278"/>
      <c r="BX28" s="526" t="s">
        <v>1</v>
      </c>
      <c r="BY28" s="278" t="s">
        <v>1</v>
      </c>
      <c r="BZ28" s="278" t="s">
        <v>279</v>
      </c>
      <c r="CA28" s="278" t="s">
        <v>277</v>
      </c>
      <c r="CB28" s="278" t="s">
        <v>278</v>
      </c>
      <c r="CC28" s="278" t="s">
        <v>229</v>
      </c>
      <c r="CD28" s="278" t="s">
        <v>230</v>
      </c>
      <c r="CE28" s="278" t="s">
        <v>280</v>
      </c>
    </row>
    <row r="29" spans="1:84" ht="12.75" customHeight="1" x14ac:dyDescent="0.2">
      <c r="A29" s="171"/>
      <c r="B29" s="176"/>
      <c r="C29" s="228" t="s">
        <v>173</v>
      </c>
      <c r="D29" s="228"/>
      <c r="E29" s="228"/>
      <c r="F29" s="228" t="s">
        <v>109</v>
      </c>
      <c r="G29" s="595" t="s">
        <v>217</v>
      </c>
      <c r="H29" s="173"/>
      <c r="I29" s="176"/>
      <c r="J29" s="176"/>
      <c r="K29" s="673"/>
      <c r="L29" s="662" t="s">
        <v>182</v>
      </c>
      <c r="M29" s="662"/>
      <c r="N29" s="662"/>
      <c r="O29" s="662"/>
      <c r="P29" s="662"/>
      <c r="Q29" s="662"/>
      <c r="R29" s="750"/>
      <c r="S29" s="692" t="s">
        <v>246</v>
      </c>
      <c r="T29" s="692"/>
      <c r="U29" s="692"/>
      <c r="V29" s="692"/>
      <c r="W29" s="478" t="str">
        <f ca="1">IF($G$18=2,"IIIIIIIIIIIIIIIII",IF($G$18=3,"IIIIIIIIIIIIIIIIIIII",IF(BE10&gt;0,"  PUMP",IF(BE10&lt;=0,"IIIIIIIIIIIIIIIIIII",IF($G$18=1,"  PUMP",IF($G$18=4,"IIIIIIIIIIIIIIIIII",IF($BE$10&lt;=0,"IIIIIIIIIIIIIIIIIII",IF($G$18=5,"  PUMP",))))))))</f>
        <v xml:space="preserve">  PUMP</v>
      </c>
      <c r="X29" s="230"/>
      <c r="Y29" s="477" t="s">
        <v>245</v>
      </c>
      <c r="Z29" s="722" t="s">
        <v>244</v>
      </c>
      <c r="AA29" s="722"/>
      <c r="AB29" s="176"/>
      <c r="AC29" s="176"/>
      <c r="AD29" s="472"/>
      <c r="AE29" s="752" t="s">
        <v>1</v>
      </c>
      <c r="AF29" s="666"/>
      <c r="AG29" s="223" t="s">
        <v>1</v>
      </c>
      <c r="AH29" s="231" t="s">
        <v>177</v>
      </c>
      <c r="AI29" s="231"/>
      <c r="AJ29" s="231"/>
      <c r="AK29" s="231"/>
      <c r="AL29" s="231"/>
      <c r="AM29" s="231"/>
      <c r="AN29" s="427" t="s">
        <v>89</v>
      </c>
      <c r="AO29" s="426"/>
      <c r="AP29" s="227" t="s">
        <v>109</v>
      </c>
      <c r="AQ29" s="426"/>
      <c r="AR29" s="586">
        <f>Tot.Head!G22</f>
        <v>36</v>
      </c>
      <c r="AS29" s="428"/>
      <c r="AT29" s="671"/>
      <c r="AU29" s="586">
        <f>Tot.Head!I22</f>
        <v>0</v>
      </c>
      <c r="AV29" s="428"/>
      <c r="AW29" s="665"/>
      <c r="AX29" s="586">
        <f>Tot.Head!K22</f>
        <v>0</v>
      </c>
      <c r="AY29" s="485" t="s">
        <v>1</v>
      </c>
      <c r="AZ29" s="721"/>
      <c r="BA29" s="172"/>
      <c r="BB29" s="376" t="str">
        <f ca="1">IF(BE10&lt;=0,"",IF(Tot.Head!$F$58&lt;Tot.Head!$F$59,"To avoid cavitation as below :",IF(BE23&gt;BE24,"",IF(G18=1,"To avoid cavitation as below :",IF(G18=5,"To avoid cavitation as below :",)))))</f>
        <v/>
      </c>
      <c r="BC29" s="191"/>
      <c r="BD29" s="191"/>
      <c r="BE29" s="191"/>
      <c r="BF29" s="232"/>
      <c r="BG29" s="171"/>
      <c r="BH29" s="171"/>
      <c r="BI29" s="171"/>
      <c r="BJ29" s="171"/>
      <c r="BK29" s="171"/>
      <c r="BL29" s="278"/>
      <c r="BX29" s="528" t="s">
        <v>1</v>
      </c>
      <c r="BY29" s="278" t="s">
        <v>279</v>
      </c>
      <c r="BZ29" s="297">
        <v>1</v>
      </c>
      <c r="CA29" s="536">
        <v>1.6666670000000001E-2</v>
      </c>
      <c r="CB29" s="536">
        <v>2.777778E-4</v>
      </c>
      <c r="CC29" s="531">
        <v>16.66667</v>
      </c>
      <c r="CD29" s="536">
        <v>0.27777780000000002</v>
      </c>
      <c r="CE29" s="530">
        <v>4.4028679999999998</v>
      </c>
    </row>
    <row r="30" spans="1:84" ht="12" customHeight="1" x14ac:dyDescent="0.2">
      <c r="A30" s="171"/>
      <c r="B30" s="176"/>
      <c r="C30" s="228" t="s">
        <v>174</v>
      </c>
      <c r="D30" s="228"/>
      <c r="E30" s="344" t="s">
        <v>89</v>
      </c>
      <c r="F30" s="228" t="s">
        <v>109</v>
      </c>
      <c r="G30" s="274">
        <v>0</v>
      </c>
      <c r="H30" s="173" t="s">
        <v>1</v>
      </c>
      <c r="I30" s="176"/>
      <c r="J30" s="176"/>
      <c r="K30" s="233"/>
      <c r="L30" s="176"/>
      <c r="M30" s="176"/>
      <c r="N30" s="688" t="str">
        <f>IF(G18&lt;4,"_________________________________",IF(G18=7," ",IF(G18=8," ",IF(G18&gt;5,"_________________________________",IF(G18=4," ",IF(G18=5,"",IF(G18&lt;=0,"",)))))))</f>
        <v>_________________________________</v>
      </c>
      <c r="O30" s="217"/>
      <c r="P30" s="217"/>
      <c r="Q30" s="207"/>
      <c r="R30" s="475" t="str">
        <f>IF(G18=2,"",IF(G18&lt;4,"",IF(G18=7,"",IF(G18&gt;5,"",IF(G18=4," ",IF(G18=5,"",IF(G18&lt;=0,"",)))))))</f>
        <v/>
      </c>
      <c r="S30" s="691" t="str">
        <f>IF($G$18&lt;4,"IIIIIIIIIIIIIIIIIIIIIIIIIIIIIIIIIIIIIII Ls IIIIIIIIIIIIIIIIIIIIIIII",IF($G$18=6,"IIIIIIIIIIIIIIIIIIIIIIIIIIIIIIIIIIIIIIIIIIIIIIIIIIIIIIIIIIIIIIIIIIIIIIIIIIIIIIIIIII",IF($G$18=7,"IIIIIIIIIIIIIIIIIII Ls IIIIIIIIIIIIIIIIIIIIIIIIIIIIIIIIIIIIIIIIIIIIII",IF($G$18=8,"",IF($G$18=4," ",IF($G$18=5,"",))))))</f>
        <v>IIIIIIIIIIIIIIIIIIIIIIIIIIIIIIIIIIIIIII Ls IIIIIIIIIIIIIIIIIIIIIIII</v>
      </c>
      <c r="T30" s="474" t="str">
        <f>IF($G$18&lt;4,"------",IF($G$18=7,"",IF($G$18=8,"",IF($G$18&gt;5,"--------",IF($G$18=4," ",IF($G$18=5,"",IF($G$18&lt;=0,"",)))))))</f>
        <v>------</v>
      </c>
      <c r="U30" s="234"/>
      <c r="V30" s="687" t="str">
        <f>IF(G18&lt;4,"________________________________",IF(G18=7," ",IF(G18=8," ",IF(G18&gt;5,"________________________________",IF(G18=4," ",IF(G18=5,"",IF(G18&lt;=0,"",)))))))</f>
        <v>________________________________</v>
      </c>
      <c r="W30" s="481" t="str">
        <f>IF(G18=7,"",IF(G23&lt;G34,"Ls&lt;Hs, No permitted",IF($G$18=4,BB11,IF($G$18=6,BB11,IF($G$34&lt;$G$23,"",IF($G$34&gt;=$G$23,"",))))))</f>
        <v/>
      </c>
      <c r="X30" s="481"/>
      <c r="Y30" s="481"/>
      <c r="Z30" s="481"/>
      <c r="AA30" s="481"/>
      <c r="AB30" s="176"/>
      <c r="AC30" s="176"/>
      <c r="AD30" s="730" t="str">
        <f>IF($G$18&lt;4," ",IF($G$18=5," ",IF($G$18=8," ",IF(C16="1 outlet pipe : Ld1","IIIIIIIIIIIIIIIIIIIIIIIIIIIIIIIIIIIIIIIIIIIIIII Ld1 IIIIIIIIIIIIIIIIIIIIIIIIIIIIIIII",IF($G$18=4,"IIIIIIIIIIIIIIIIIIIIIIIIIIIIIIIIIIIIIIIIIIIIIIIIII Ld1 IIIIIIIIIIIIIIIIIIIIII",IF($G$18=6,"IIIIIIIIIIIIIIIIIIIIIIIIIIIIIIIIIIIIIIIIIIIIIIIIII Ld1 IIIIIIIIIIIIIIIIIIIIII",IF($G$18=7,"IIIIIIIIIIIIIIIIIIIIIIIIIIIIIIIIIIIIIIIIIIIIIIIIII Ld1 IIIIIIIIIIIIIIIIIIIIII",IF($G$18&lt;4," ",IF($G$18&gt;4," ",)))))))))</f>
        <v xml:space="preserve"> </v>
      </c>
      <c r="AE30" s="753"/>
      <c r="AF30" s="673" t="str">
        <f>IF($G$18=4,"----------------------------_",IF($G$18=6,"----------------------------",IF($G$18=7,"",IF($G$18&lt;4,"",IF($G$18&gt;4,"",IF($G$18&lt;=0,"",))))))</f>
        <v/>
      </c>
      <c r="AG30" s="228" t="s">
        <v>1</v>
      </c>
      <c r="AH30" s="228" t="s">
        <v>295</v>
      </c>
      <c r="AI30" s="228"/>
      <c r="AJ30" s="228"/>
      <c r="AK30" s="228"/>
      <c r="AL30" s="228"/>
      <c r="AM30" s="228"/>
      <c r="AN30" s="429"/>
      <c r="AO30" s="430"/>
      <c r="AP30" s="173" t="s">
        <v>109</v>
      </c>
      <c r="AQ30" s="430"/>
      <c r="AR30" s="595" t="s">
        <v>217</v>
      </c>
      <c r="AS30" s="176"/>
      <c r="AT30" s="671"/>
      <c r="AU30" s="505" t="s">
        <v>217</v>
      </c>
      <c r="AV30" s="176"/>
      <c r="AW30" s="665"/>
      <c r="AX30" s="505" t="s">
        <v>217</v>
      </c>
      <c r="AY30" s="214"/>
      <c r="AZ30" s="721"/>
      <c r="BA30" s="172"/>
      <c r="BB30" s="710" t="str">
        <f ca="1">IF(BE10&lt;=0,"",IF(G18=2,"Min. level, Tw max =",IF(G18=3,"Min. level, Tw max =",IF(G18=7,"",IF(Tot.Head!$F$56&gt;0,"Neg suction, Hs max =",IF(G18=8,"Pos suction, Hs min =",IF(G18=5,"Pos suction, Hs min =",IF(G18=4,"Pos  suction, Hs max =",IF(Tot.Head!$F$56&lt;=0,"Change to sys. No. 5",)))))))))</f>
        <v>Neg suction, Hs max =</v>
      </c>
      <c r="BC30" s="711"/>
      <c r="BD30" s="711"/>
      <c r="BE30" s="377">
        <f ca="1">IF(BE10&lt;=0,"",IF($G$18=2,Tot.Head!$G$57,IF(G18=3,Tot.Head!$H$57,IF(Tot.Head!$F$56&gt;=0,Tot.Head!$F$56,IF($G$18=8,-Tot.Head!$F$56,IF($G$18=5,-Tot.Head!$F$56,IF($G$18=4,-Tot.Head!$F$56,IF(Tot.Head!$F$56&lt;=0,"",IF(BE23&gt;BE24,-Tot.Head!$F$56,)))))))))</f>
        <v>4.3545797807415489</v>
      </c>
      <c r="BF30" s="378" t="str">
        <f ca="1">IF(BE10&lt;=0,"",IF(G18=2,"mtr",IF(G18=3,"mtr",IF(G18=5,"Mtr",IF(G18=4,"Mtr",IF(Tot.Head!$F$56&lt;=0,"",IF(Tot.Head!$F$58&lt;Tot.Head!$F$59,"Mtr",IF(Tot.Head!$F$58&gt;Tot.Head!$F$59,"mtr ",))))))))</f>
        <v xml:space="preserve">mtr </v>
      </c>
      <c r="BG30" s="547">
        <f ca="1">-BE30</f>
        <v>-4.3545797807415489</v>
      </c>
      <c r="BH30" s="236"/>
      <c r="BI30" s="176"/>
      <c r="BJ30" s="176"/>
      <c r="BK30" s="176"/>
      <c r="BL30" s="286"/>
      <c r="BX30" s="278"/>
      <c r="BY30" s="278" t="s">
        <v>277</v>
      </c>
      <c r="BZ30" s="297">
        <v>60</v>
      </c>
      <c r="CA30" s="297">
        <v>1</v>
      </c>
      <c r="CB30" s="536">
        <v>1.6666670000000001E-2</v>
      </c>
      <c r="CC30" s="297">
        <v>1000</v>
      </c>
      <c r="CD30" s="531">
        <v>16.66667</v>
      </c>
      <c r="CE30" s="530">
        <v>264.1721</v>
      </c>
    </row>
    <row r="31" spans="1:84" ht="12.75" customHeight="1" x14ac:dyDescent="0.2">
      <c r="A31" s="171"/>
      <c r="B31" s="176"/>
      <c r="C31" s="205" t="s">
        <v>131</v>
      </c>
      <c r="D31" s="205"/>
      <c r="E31" s="425" t="s">
        <v>92</v>
      </c>
      <c r="F31" s="205" t="s">
        <v>109</v>
      </c>
      <c r="G31" s="597">
        <f>Tot.Head!$F$65</f>
        <v>2.3739555747675016</v>
      </c>
      <c r="H31" s="212" t="s">
        <v>1</v>
      </c>
      <c r="I31" s="176"/>
      <c r="J31" s="176"/>
      <c r="K31" s="176"/>
      <c r="L31" s="176"/>
      <c r="M31" s="176"/>
      <c r="N31" s="688"/>
      <c r="O31" s="217"/>
      <c r="P31" s="217"/>
      <c r="Q31" s="207"/>
      <c r="R31" s="475"/>
      <c r="S31" s="691"/>
      <c r="T31" s="476">
        <f>IF($G$18&lt;4,G34,IF($G$18=7,"",IF($G$18=8,"",IF($G$18&gt;5,G34,IF($G$18=4," ",IF($G$18=5,"",IF($G$18&lt;=0,"",)))))))</f>
        <v>1</v>
      </c>
      <c r="U31" s="237" t="s">
        <v>1</v>
      </c>
      <c r="V31" s="687"/>
      <c r="W31" s="734" t="str">
        <f ca="1">IF(Y20&gt;0,C48,IF(Y20&lt;=0,"NO NEED PUMP",))</f>
        <v>NO  CAVITATION</v>
      </c>
      <c r="X31" s="734"/>
      <c r="Y31" s="734"/>
      <c r="Z31" s="283"/>
      <c r="AA31" s="436"/>
      <c r="AB31" s="176"/>
      <c r="AC31" s="176"/>
      <c r="AD31" s="730"/>
      <c r="AE31" s="467" t="s">
        <v>1</v>
      </c>
      <c r="AF31" s="673"/>
      <c r="AG31" s="431" t="s">
        <v>1</v>
      </c>
      <c r="AH31" s="431" t="s">
        <v>296</v>
      </c>
      <c r="AI31" s="431"/>
      <c r="AJ31" s="431"/>
      <c r="AK31" s="431"/>
      <c r="AL31" s="431"/>
      <c r="AM31" s="431"/>
      <c r="AN31" s="425" t="s">
        <v>89</v>
      </c>
      <c r="AO31" s="430"/>
      <c r="AP31" s="173" t="s">
        <v>109</v>
      </c>
      <c r="AQ31" s="430"/>
      <c r="AR31" s="275">
        <v>0</v>
      </c>
      <c r="AS31" s="176"/>
      <c r="AT31" s="671"/>
      <c r="AU31" s="275">
        <v>0</v>
      </c>
      <c r="AV31" s="176"/>
      <c r="AW31" s="665"/>
      <c r="AX31" s="275">
        <v>0</v>
      </c>
      <c r="AY31" s="616" t="s">
        <v>1</v>
      </c>
      <c r="AZ31" s="721"/>
      <c r="BA31" s="172"/>
      <c r="BB31" s="379" t="str">
        <f ca="1">IF(BE10&lt;=0,"",IF(BE23&lt;BE24,"Decrease water temp.",IF(BE23&gt;BE24,"",IF($G$18=5,"",))))</f>
        <v/>
      </c>
      <c r="BC31" s="238"/>
      <c r="BD31" s="173"/>
      <c r="BE31" s="173"/>
      <c r="BF31" s="239"/>
      <c r="BG31" s="171"/>
      <c r="BH31" s="176"/>
      <c r="BI31" s="176"/>
      <c r="BJ31" s="176"/>
      <c r="BK31" s="176"/>
      <c r="BL31" s="286"/>
      <c r="BX31" s="278"/>
      <c r="BY31" s="278" t="s">
        <v>278</v>
      </c>
      <c r="BZ31" s="297">
        <v>3600</v>
      </c>
      <c r="CA31" s="297">
        <v>60</v>
      </c>
      <c r="CB31" s="297">
        <v>1</v>
      </c>
      <c r="CC31" s="297">
        <v>60000</v>
      </c>
      <c r="CD31" s="297">
        <v>1000</v>
      </c>
      <c r="CE31" s="530">
        <v>15850.32</v>
      </c>
    </row>
    <row r="32" spans="1:84" ht="12.75" customHeight="1" x14ac:dyDescent="0.25">
      <c r="A32" s="171"/>
      <c r="B32" s="176"/>
      <c r="C32" s="596" t="s">
        <v>148</v>
      </c>
      <c r="D32" s="283"/>
      <c r="E32" s="191"/>
      <c r="F32" s="173" t="s">
        <v>109</v>
      </c>
      <c r="G32" s="649" t="str">
        <f>IF($G$31&lt;=0.9,"too low",IF($G$31&lt;=2,"OK",IF($G$31&gt;2,"too high")))</f>
        <v>too high</v>
      </c>
      <c r="H32" s="240"/>
      <c r="I32" s="176"/>
      <c r="J32" s="176"/>
      <c r="K32" s="176"/>
      <c r="L32" s="176"/>
      <c r="M32" s="176"/>
      <c r="N32" s="688"/>
      <c r="O32" s="217"/>
      <c r="P32" s="217"/>
      <c r="Q32" s="207"/>
      <c r="R32" s="689">
        <f>IF($G$18&lt;4,$G$23,IF($G$18=6,$G$23,IF($G$18=7,"",IF($G$18=8,"",IF($G$18=4," ",IF($G$18=5,"",))))))</f>
        <v>5</v>
      </c>
      <c r="S32" s="691"/>
      <c r="T32" s="673" t="str">
        <f>IF($G$18&lt;4," I------- Hs :",IF($G$18=7,"",IF($G$18=8,"",IF($G$18&gt;5," I------- Hs :",IF($G$18=4," ",IF($G$18=5,"",IF($G$18&lt;=0,"",)))))))</f>
        <v xml:space="preserve"> I------- Hs :</v>
      </c>
      <c r="U32" s="241" t="s">
        <v>1</v>
      </c>
      <c r="V32" s="687"/>
      <c r="W32" s="735" t="str">
        <f ca="1">IF(G18&lt;7,C50,IF(G18=7,"Hs = 0, Hg = 0, Hd = 0",IF(G18=8,C50,)))</f>
        <v>Neg suction, Hs max =</v>
      </c>
      <c r="X32" s="735"/>
      <c r="Y32" s="735"/>
      <c r="Z32" s="682">
        <f ca="1">IF(G18&lt;7,E50,IF(G18=7,"",IF(G18=8,E50,)))</f>
        <v>4.3545797807415489</v>
      </c>
      <c r="AA32" s="682"/>
      <c r="AB32" s="176"/>
      <c r="AC32" s="176"/>
      <c r="AD32" s="730"/>
      <c r="AE32" s="436"/>
      <c r="AF32" s="673"/>
      <c r="AG32" s="212" t="s">
        <v>1</v>
      </c>
      <c r="AH32" s="205" t="s">
        <v>320</v>
      </c>
      <c r="AI32" s="205"/>
      <c r="AJ32" s="205"/>
      <c r="AK32" s="205"/>
      <c r="AL32" s="205"/>
      <c r="AM32" s="205"/>
      <c r="AN32" s="243"/>
      <c r="AO32" s="243"/>
      <c r="AP32" s="205" t="s">
        <v>109</v>
      </c>
      <c r="AQ32" s="243"/>
      <c r="AR32" s="597">
        <f>Tot.Head!$F$62</f>
        <v>1.365189313517339</v>
      </c>
      <c r="AS32" s="205"/>
      <c r="AT32" s="671"/>
      <c r="AU32" s="597">
        <f>Tot.Head!H62</f>
        <v>0</v>
      </c>
      <c r="AV32" s="205"/>
      <c r="AW32" s="665"/>
      <c r="AX32" s="597">
        <f>Tot.Head!J62</f>
        <v>0</v>
      </c>
      <c r="AY32" s="625" t="s">
        <v>1</v>
      </c>
      <c r="AZ32" s="721"/>
      <c r="BA32" s="184"/>
      <c r="BB32" s="380" t="str">
        <f ca="1">IF(BE10&lt;=0,"",IF(BE23&lt;BE24,"Increase suction pipe dia.",IF(BE23&gt;BE24,"",IF($G$18=2," ",IF($G$18=3," ",IF($G$18=4," ",IF($G$18=5,"",)))))))</f>
        <v/>
      </c>
      <c r="BC32" s="242"/>
      <c r="BD32" s="173"/>
      <c r="BE32" s="173"/>
      <c r="BF32" s="239"/>
      <c r="BG32" s="171"/>
      <c r="BH32" s="176"/>
      <c r="BI32" s="176"/>
      <c r="BJ32" s="176"/>
      <c r="BK32" s="176"/>
      <c r="BL32" s="286"/>
      <c r="BX32" s="278"/>
      <c r="BY32" s="278" t="s">
        <v>229</v>
      </c>
      <c r="BZ32" s="297">
        <v>0.06</v>
      </c>
      <c r="CA32" s="297">
        <v>1E-3</v>
      </c>
      <c r="CB32" s="532">
        <f>1/CC31</f>
        <v>1.6666666666666667E-5</v>
      </c>
      <c r="CC32" s="297">
        <v>1</v>
      </c>
      <c r="CD32" s="536">
        <v>1.6666670000000001E-2</v>
      </c>
      <c r="CE32" s="530">
        <v>0.26417210000000002</v>
      </c>
    </row>
    <row r="33" spans="1:84" ht="12.75" customHeight="1" x14ac:dyDescent="0.25">
      <c r="A33" s="171"/>
      <c r="B33" s="176"/>
      <c r="C33" s="596" t="s">
        <v>181</v>
      </c>
      <c r="D33" s="283"/>
      <c r="E33" s="191"/>
      <c r="F33" s="173" t="s">
        <v>109</v>
      </c>
      <c r="G33" s="650" t="str">
        <f>IF($G$31=0," ",IF($G$31&lt;=0.9,"too big",IF(G31&lt;=2,"OK",IF(G31&gt;2,"too small"))))</f>
        <v>too small</v>
      </c>
      <c r="H33" s="240"/>
      <c r="I33" s="176"/>
      <c r="J33" s="176" t="s">
        <v>1</v>
      </c>
      <c r="K33" s="176"/>
      <c r="L33" s="176"/>
      <c r="M33" s="176"/>
      <c r="N33" s="688"/>
      <c r="O33" s="243" t="s">
        <v>1</v>
      </c>
      <c r="P33" s="243"/>
      <c r="Q33" s="207"/>
      <c r="R33" s="689"/>
      <c r="S33" s="691"/>
      <c r="T33" s="673"/>
      <c r="U33" s="237" t="s">
        <v>1</v>
      </c>
      <c r="V33" s="687"/>
      <c r="W33" s="493" t="str">
        <f ca="1">C51</f>
        <v/>
      </c>
      <c r="X33" s="493"/>
      <c r="Y33" s="493"/>
      <c r="Z33" s="491"/>
      <c r="AA33" s="502"/>
      <c r="AB33" s="176"/>
      <c r="AC33" s="176"/>
      <c r="AD33" s="730"/>
      <c r="AE33" s="436"/>
      <c r="AF33" s="673"/>
      <c r="AG33" s="283" t="s">
        <v>1</v>
      </c>
      <c r="AH33" s="596" t="s">
        <v>148</v>
      </c>
      <c r="AI33" s="283"/>
      <c r="AJ33" s="283"/>
      <c r="AK33" s="283"/>
      <c r="AL33" s="283"/>
      <c r="AM33" s="283"/>
      <c r="AN33" s="283"/>
      <c r="AO33" s="244"/>
      <c r="AP33" s="173" t="s">
        <v>109</v>
      </c>
      <c r="AQ33" s="244"/>
      <c r="AR33" s="632" t="str">
        <f>IF(AR$32&lt;=0.9,"too low",IF(AR$32&lt;=2,"OK",IF(AR$32&gt;2,"too high")))</f>
        <v>OK</v>
      </c>
      <c r="AS33" s="176"/>
      <c r="AT33" s="671"/>
      <c r="AU33" s="632" t="str">
        <f>IF(AU9=0,"-",IF(AU$32&lt;=0.9,"too low",IF(AU$32&lt;=2,"OK",IF(AU$32&gt;2,"too high"))))</f>
        <v>-</v>
      </c>
      <c r="AV33" s="176"/>
      <c r="AW33" s="665"/>
      <c r="AX33" s="632" t="str">
        <f>IF(AX9=0,"-",IF(AX$32&lt;=0.9,"too low",IF(AX$32&lt;=2,"OK",IF(AX$32&gt;2,"too high"))))</f>
        <v>-</v>
      </c>
      <c r="AY33" s="625" t="s">
        <v>1</v>
      </c>
      <c r="AZ33" s="721"/>
      <c r="BA33" s="191"/>
      <c r="BB33" s="380" t="str">
        <f ca="1">IF(BE10&lt;=0,"",IF(BE23&lt;BE24,"Change pump by smaller NPSHr",IF(BE23&gt;BE24,"",IF($G18=2," ",IF($G18=3," ",IF($G18=4," ",IF($G18=5,"",)))))))</f>
        <v/>
      </c>
      <c r="BC33" s="242"/>
      <c r="BD33" s="173"/>
      <c r="BE33" s="173"/>
      <c r="BF33" s="239"/>
      <c r="BG33" s="171"/>
      <c r="BH33" s="176"/>
      <c r="BI33" s="176"/>
      <c r="BJ33" s="176"/>
      <c r="BK33" s="176"/>
      <c r="BL33" s="286"/>
      <c r="BX33" s="278"/>
      <c r="BY33" s="278" t="s">
        <v>230</v>
      </c>
      <c r="BZ33" s="297">
        <v>3.6</v>
      </c>
      <c r="CA33" s="297">
        <v>0.06</v>
      </c>
      <c r="CB33" s="297">
        <v>1E-3</v>
      </c>
      <c r="CC33" s="297">
        <v>60</v>
      </c>
      <c r="CD33" s="297">
        <v>1</v>
      </c>
      <c r="CE33" s="530">
        <v>15.85032</v>
      </c>
    </row>
    <row r="34" spans="1:84" ht="12.75" customHeight="1" x14ac:dyDescent="0.25">
      <c r="A34" s="171"/>
      <c r="B34" s="176"/>
      <c r="C34" s="401" t="str">
        <f>IF($G$18&lt;=1,"Suction lift (Hs)",IF($G$18=2,"Dynamic water level, Hs",IF($G$18=3,"Dynamic water level, Hs",IF($G$18=7,"Hs = 0 mtr/No need to fill in",IF($G$18&gt;7,"Suction lift (Hs)",IF($G$18&gt;=4,"Water level-minimum (Hs)",))))))</f>
        <v>Suction lift (Hs)</v>
      </c>
      <c r="D34" s="173"/>
      <c r="E34" s="606" t="s">
        <v>90</v>
      </c>
      <c r="F34" s="173" t="s">
        <v>109</v>
      </c>
      <c r="G34" s="600">
        <v>1</v>
      </c>
      <c r="H34" s="173" t="s">
        <v>1</v>
      </c>
      <c r="I34" s="176"/>
      <c r="J34" s="399" t="s">
        <v>1</v>
      </c>
      <c r="K34" s="176"/>
      <c r="L34" s="176"/>
      <c r="M34" s="398" t="s">
        <v>1</v>
      </c>
      <c r="N34" s="688"/>
      <c r="O34" s="245" t="s">
        <v>1</v>
      </c>
      <c r="P34" s="245"/>
      <c r="Q34" s="246"/>
      <c r="R34" s="690" t="str">
        <f>IF($G$18&lt;4,"LS :",IF($G$18=6,"LS :",IF($G$18=7,"",IF($G$18=8,"",IF($G$18=4," ",IF($G$18=5,"",))))))</f>
        <v>LS :</v>
      </c>
      <c r="S34" s="691"/>
      <c r="T34" s="673"/>
      <c r="U34" s="237" t="s">
        <v>1</v>
      </c>
      <c r="V34" s="687"/>
      <c r="W34" s="481" t="str">
        <f ca="1">C52</f>
        <v/>
      </c>
      <c r="X34" s="504"/>
      <c r="Y34" s="504"/>
      <c r="Z34" s="503"/>
      <c r="AA34" s="503"/>
      <c r="AB34" s="418"/>
      <c r="AC34" s="418"/>
      <c r="AD34" s="730"/>
      <c r="AE34" s="436"/>
      <c r="AF34" s="673"/>
      <c r="AG34" s="283" t="s">
        <v>1</v>
      </c>
      <c r="AH34" s="596" t="s">
        <v>178</v>
      </c>
      <c r="AI34" s="331"/>
      <c r="AJ34" s="331"/>
      <c r="AK34" s="331"/>
      <c r="AL34" s="331"/>
      <c r="AM34" s="331"/>
      <c r="AN34" s="408"/>
      <c r="AO34" s="176"/>
      <c r="AP34" s="173" t="s">
        <v>109</v>
      </c>
      <c r="AQ34" s="176"/>
      <c r="AR34" s="633" t="str">
        <f>IF(AR$32&lt;=0.9,"too big",IF(AR$32&lt;=2,"OK",IF(AR$32&gt;2,"too small",)))</f>
        <v>OK</v>
      </c>
      <c r="AS34" s="176"/>
      <c r="AT34" s="671"/>
      <c r="AU34" s="633" t="str">
        <f>IF(AU9=0,"-",IF(AU$32&lt;=0.9,"too big",IF(AU$32&lt;=2,"OK",IF(AU$32&gt;2,"too small",))))</f>
        <v>-</v>
      </c>
      <c r="AV34" s="396"/>
      <c r="AW34" s="665"/>
      <c r="AX34" s="633" t="str">
        <f>IF(AX9=0,"-",IF(AX$32&lt;=0.9,"too big",IF(AX$32&lt;=2,"OK",IF(AX$32&gt;2,"too small",))))</f>
        <v>-</v>
      </c>
      <c r="AY34" s="625" t="str">
        <f>IF($G$18=4,"",IF($G$18=6,"",IF($G$18=7,"",IF($C$16=$C$162,"",IF($C$16=$C$163,"",IF($C$16=$C$164,"",IF($C$16=$C$165,"Qd3=0",IF($C$16=$C$166,"",IF($C$16=$C$167,"",IF($C$16=$C$168,"",IF($G$18=6," ",IF($G$18=7,"",IF($G$18=4," ",IF($G$18&lt;=0,"",))))))))))))))</f>
        <v/>
      </c>
      <c r="AZ34" s="721"/>
      <c r="BA34" s="172"/>
      <c r="BB34" s="247" t="s">
        <v>1</v>
      </c>
      <c r="BC34" s="248"/>
      <c r="BD34" s="249"/>
      <c r="BE34" s="249"/>
      <c r="BF34" s="250"/>
      <c r="BG34" s="171"/>
      <c r="BH34" s="176"/>
      <c r="BI34" s="176"/>
      <c r="BJ34" s="176"/>
      <c r="BK34" s="176"/>
      <c r="BL34" s="286"/>
      <c r="BX34" s="278"/>
      <c r="BY34" s="278" t="s">
        <v>280</v>
      </c>
      <c r="BZ34" s="534">
        <f>1/CE29</f>
        <v>0.22712468327462917</v>
      </c>
      <c r="CA34" s="534">
        <f>1/CE30</f>
        <v>3.7854111013237205E-3</v>
      </c>
      <c r="CB34" s="535">
        <f>1/CE31</f>
        <v>6.3090208904299723E-5</v>
      </c>
      <c r="CC34" s="533">
        <f>1/CE32</f>
        <v>3.7854111013237199</v>
      </c>
      <c r="CD34" s="533">
        <f>1/CE33</f>
        <v>6.3090208904299727E-2</v>
      </c>
      <c r="CE34" s="506">
        <v>1</v>
      </c>
    </row>
    <row r="35" spans="1:84" ht="12.75" customHeight="1" x14ac:dyDescent="0.2">
      <c r="A35" s="171"/>
      <c r="B35" s="176"/>
      <c r="C35" s="381" t="str">
        <f>IF($G$18&lt;=1,"Vertical distance from pipe level to water level",IF($G$18=2,"Vertical distance from pipe level to water level",IF($G$18=3,"Vertical distance from pipe level to water level",IF($G$18=7,"",IF($G$18&gt;7,"Vertical distance from pipe level to water level",IF($G$18&gt;=4,"Vertical distance from pipe level to water level",))))))</f>
        <v>Vertical distance from pipe level to water level</v>
      </c>
      <c r="D35" s="173"/>
      <c r="E35" s="212"/>
      <c r="F35" s="212"/>
      <c r="G35" s="251"/>
      <c r="H35" s="173"/>
      <c r="I35" s="176"/>
      <c r="J35" s="176"/>
      <c r="K35" s="176"/>
      <c r="L35" s="176"/>
      <c r="M35" s="748" t="str">
        <f>IF($G$18=2,"I----- Tw ---I",IF($G$18=3,"I----- Tw ---I",IF($G$18&lt;=1,"",IF($G$18&gt;2,"",))))</f>
        <v/>
      </c>
      <c r="N35" s="688"/>
      <c r="O35" s="382" t="str">
        <f>IF($G$18&lt;4,"~~~",IF($G$18=7,"",IF($G$18=8,"",IF($G$18&gt;5,"~~~",IF($G$18=4," ",IF($G$18=5,"",IF($G$18&lt;=0,"",)))))))</f>
        <v>~~~</v>
      </c>
      <c r="P35" s="245"/>
      <c r="Q35" s="246"/>
      <c r="R35" s="690"/>
      <c r="S35" s="691"/>
      <c r="T35" s="673"/>
      <c r="U35" s="382" t="str">
        <f>IF($G$18&lt;4,"~~~",IF($G$18=7,"",IF($G$18=8,"",IF($G$18&gt;5,"~~~",IF($G$18=4,"",IF($G$18=5,"",IF($G$18&lt;=0," ",)))))))</f>
        <v>~~~</v>
      </c>
      <c r="V35" s="687"/>
      <c r="W35" s="786" t="s">
        <v>316</v>
      </c>
      <c r="X35" s="787"/>
      <c r="Y35" s="787"/>
      <c r="Z35" s="787"/>
      <c r="AA35" s="788"/>
      <c r="AB35" s="176"/>
      <c r="AC35" s="176"/>
      <c r="AD35" s="730"/>
      <c r="AE35" s="436"/>
      <c r="AF35" s="673"/>
      <c r="AG35" s="205" t="s">
        <v>1</v>
      </c>
      <c r="AH35" s="205" t="s">
        <v>321</v>
      </c>
      <c r="AI35" s="205"/>
      <c r="AJ35" s="205"/>
      <c r="AK35" s="205"/>
      <c r="AL35" s="205"/>
      <c r="AM35" s="205"/>
      <c r="AN35" s="243"/>
      <c r="AO35" s="243"/>
      <c r="AP35" s="173" t="s">
        <v>109</v>
      </c>
      <c r="AQ35" s="243"/>
      <c r="AR35" s="487">
        <v>0.15</v>
      </c>
      <c r="AS35" s="173" t="s">
        <v>1</v>
      </c>
      <c r="AT35" s="671"/>
      <c r="AU35" s="622" t="s">
        <v>1</v>
      </c>
      <c r="AV35" s="622"/>
      <c r="AW35" s="665"/>
      <c r="AX35" s="625" t="str">
        <f>IF($G$18=4,"",IF($G$18=6,"",IF($G$18=7,"",IF($C$16=$C$162,"",IF($C$16=$C$163,"",IF($C$16=$C$164,"",IF($C$16=$C$165,"Qd31=0",IF($C$16=$C$166,"",IF($C$16=$C$167,"Qd31=0",IF($C$16=$C$168,"",IF($G$18=6," ",IF($G$18=7,"",IF($G$18=4," ",IF($G$18&lt;=0,"",))))))))))))))</f>
        <v/>
      </c>
      <c r="AY35" s="625" t="str">
        <f>IF($G$18=4,"",IF($G$18=6,"",IF($G$18=7,"",IF($C$16=$C$162,"",IF($C$16=$C$163,"",IF($C$16=$C$164,"",IF($C$16=$C$165,"Qd21=0",IF($C$16=$C$166,"Qd3=0",IF($C$16=$C$167,"",IF($C$16=$C$168,"Qd21=0",IF($G$18=6," ",IF($G$18=7,"",IF($G$18=4," ",IF($G$18&lt;=0,"",))))))))))))))</f>
        <v/>
      </c>
      <c r="AZ35" s="721"/>
      <c r="BA35" s="172"/>
      <c r="BB35" s="252" t="s">
        <v>1</v>
      </c>
      <c r="BC35" s="252"/>
      <c r="BD35" s="252"/>
      <c r="BE35" s="252"/>
      <c r="BF35" s="252"/>
      <c r="BG35" s="171" t="s">
        <v>1</v>
      </c>
      <c r="BH35" s="176"/>
      <c r="BI35" s="176"/>
      <c r="BJ35" s="176"/>
      <c r="BK35" s="176"/>
      <c r="BL35" s="286" t="s">
        <v>1</v>
      </c>
      <c r="BX35" s="278"/>
      <c r="BY35" s="278"/>
      <c r="BZ35" s="278"/>
      <c r="CA35" s="278"/>
      <c r="CB35" s="278"/>
      <c r="CC35" s="278"/>
      <c r="CD35" s="278"/>
    </row>
    <row r="36" spans="1:84" ht="12.75" customHeight="1" x14ac:dyDescent="0.2">
      <c r="A36" s="253" t="s">
        <v>1</v>
      </c>
      <c r="B36" s="432"/>
      <c r="C36" s="173" t="s">
        <v>252</v>
      </c>
      <c r="D36" s="458">
        <f t="shared" ref="D36:D41" si="2">J36</f>
        <v>7.0000000000000007E-2</v>
      </c>
      <c r="E36" s="214" t="s">
        <v>251</v>
      </c>
      <c r="F36" s="173" t="s">
        <v>109</v>
      </c>
      <c r="G36" s="322">
        <v>1</v>
      </c>
      <c r="H36" s="173" t="s">
        <v>1</v>
      </c>
      <c r="I36" s="176"/>
      <c r="J36" s="736">
        <f>Tot.Head!AO20</f>
        <v>7.0000000000000007E-2</v>
      </c>
      <c r="K36" s="736"/>
      <c r="L36" s="399" t="s">
        <v>1</v>
      </c>
      <c r="M36" s="748"/>
      <c r="N36" s="688"/>
      <c r="O36" s="383" t="str">
        <f>IF($G$18&lt;4,"~~~",IF($G$18=7,"",IF($G$18=8,"",IF($G$18&gt;5,"~~~",IF($G$18=4," ",IF($G$18=5,"",IF($G$18&lt;=0,"",)))))))</f>
        <v>~~~</v>
      </c>
      <c r="P36" s="245"/>
      <c r="Q36" s="246"/>
      <c r="R36" s="475"/>
      <c r="S36" s="691"/>
      <c r="T36" s="383" t="str">
        <f>IF($G$18&lt;4,"~~~~",IF($G$18=7,"",IF($G$18=8,"",IF($G$18&gt;5,"~~~~",IF($G$18=4,"",IF($G$18=5,"",IF($G$18&lt;=0," ",)))))))</f>
        <v>~~~~</v>
      </c>
      <c r="U36" s="461" t="str">
        <f>IF($G$18=2,"~~~",IF($G$18=3,"~~~",IF($G$18&lt;=1,"~~~",IF($G$18=6,"~~~",IF($G$18=8,"",IF($G$18&gt;2,"",))))))</f>
        <v>~~~</v>
      </c>
      <c r="V36" s="687"/>
      <c r="W36" s="498" t="s">
        <v>267</v>
      </c>
      <c r="X36" s="497" t="s">
        <v>268</v>
      </c>
      <c r="Y36" s="501" t="s">
        <v>269</v>
      </c>
      <c r="Z36" s="492" t="s">
        <v>250</v>
      </c>
      <c r="AA36" s="492"/>
      <c r="AB36" s="176"/>
      <c r="AC36" s="176"/>
      <c r="AD36" s="730"/>
      <c r="AE36" s="436"/>
      <c r="AF36" s="667" t="str">
        <f>IF($G$18=4,"Hg",IF($G$18=6,"Hg",IF($G$18=7,"",IF($G$18&lt;4," ",IF($G$18&gt;4,"",IF($G$18&lt;=0,"",))))))</f>
        <v xml:space="preserve"> </v>
      </c>
      <c r="AG36" s="667"/>
      <c r="AH36" s="488" t="str">
        <f>IF($G$18=4,"Hg, Geodetic Head,",IF($G$18=6,"Hg, Geodetic Head,",IF($G$18=7,"",IF($G$18&lt;4," ",IF($G$18&gt;4,"",IF($G$18&lt;=0,"",))))))</f>
        <v xml:space="preserve"> </v>
      </c>
      <c r="AI36" s="488"/>
      <c r="AJ36" s="488"/>
      <c r="AK36" s="488"/>
      <c r="AL36" s="488"/>
      <c r="AM36" s="488"/>
      <c r="AN36" s="488" t="str">
        <f>IF($G$18=4,"mtr",IF($G$18=6,"mtr",IF($G$18=7,"",IF($G$18&lt;4," ",IF($G$18&gt;4,"",IF($G$18&lt;=0,"",))))))</f>
        <v xml:space="preserve"> </v>
      </c>
      <c r="AO36" s="608"/>
      <c r="AP36" s="488" t="str">
        <f>IF($G$18=4,":",IF($G$18=6,":",IF($G$18=7,"",IF($G$18&lt;4," ",IF($G$18&gt;4,"",IF($G$18&lt;=0,"",))))))</f>
        <v xml:space="preserve"> </v>
      </c>
      <c r="AQ36" s="608"/>
      <c r="AR36" s="601" t="str">
        <f>IF($G$18=4,$AR$19,IF($G$18=6,$AR$19,IF($G$18=7,"",IF($G$18&lt;4,"",IF($G$18&gt;4,"",IF($G$18&lt;=0,"",))))))</f>
        <v/>
      </c>
      <c r="AS36" s="176"/>
      <c r="AT36" s="671"/>
      <c r="AU36" s="627" t="str">
        <f>IF($G$18=4,"",IF($G$18=6,"",IF($G$18=7,"",IF($C$16=C162,"",IF($C$16=C163,"",IF($C$16=C164,"",IF($C$16=C165,"IIIIIIIIIIIIIIIIIIIIIII Ld21 IIIIIIIIIIIIIIIIIIIIIIIIIIIIIIIIIIIIIIIIIIIIIIIIIIIIIIIIIIIIIIIIIIIIIIIIIIII",IF($C$16=C167,"",IF($C$16=C168,"IIIIIIIIIIIIIIIIIIIII Ld21 IIIIIIIIIIIIIIIIIIIIIIIIIIIIIIIIIIIIIIIIIIIIIIIIIIIIIIIIIIIIIIIIIIIIIIIIIIII",IF($C$16=C166,"",IF($G$18=6," ",IF($G$18=7,"",IF($G$18=4," ",IF($G$18&lt;=0,"",))))))))))))))</f>
        <v/>
      </c>
      <c r="AV36" s="620"/>
      <c r="AW36" s="672" t="str">
        <f>IF($G$18=4,"",IF($G$18=6,"",IF($G$18=7,"",IF($C$16=C162,"",IF($C$16=C163,"",IF($C$16=C164,"",IF($C$16=C165,"                         IIIIIIIIIIIIIIIIIIIIIIIIIIIIIIIIIIIIIIIIIII Hd IIIIIIIIIIIIIIIIIIIIIIIIIIIIIIII",IF($C$16=C166,"",IF($C$16=C167,"█                                        ",IF($C$16=C168,"                     IIIIIIIIIIIIIIIIIIIIIIIIIIIIIIIIIIIIIIIIIII Hd IIIIIIIIIIIIIIIIIIIIIIIIIIII",IF($G$18=6," ",IF($G$18=7,"",IF($G$18=4," ",IF($G$18&lt;=0,"",))))))))))))))</f>
        <v/>
      </c>
      <c r="AX36" s="672"/>
      <c r="AY36" s="672"/>
      <c r="AZ36" s="626" t="str">
        <f>IF($G$18=4,"",IF($G$18=6,"",IF($G$18=7,"",IF($C$16=C162,"",IF($C$16=C163,"",IF($C$16=C164,"",IF($C$16=C165,"█",IF($C$16=C166,"█",IF($C$16=C167,"",IF($C$16=C168,"█",IF($G$18=6," ",IF($G$18=7,"",IF($G$18=4," ",IF($G$18&lt;=0,"",))))))))))))))</f>
        <v/>
      </c>
      <c r="BA36" s="172"/>
      <c r="BB36" s="254" t="s">
        <v>1</v>
      </c>
      <c r="BC36" s="254"/>
      <c r="BD36" s="254"/>
      <c r="BE36" s="254"/>
      <c r="BF36" s="254"/>
      <c r="BG36" s="171"/>
      <c r="BH36" s="176"/>
      <c r="BI36" s="176"/>
      <c r="BJ36" s="176"/>
      <c r="BK36" s="176"/>
      <c r="BL36" s="286"/>
      <c r="BX36" s="278"/>
      <c r="BY36" s="278"/>
      <c r="BZ36" s="278"/>
      <c r="CA36" s="278"/>
      <c r="CB36" s="278"/>
      <c r="CC36" s="278"/>
      <c r="CD36" s="278"/>
    </row>
    <row r="37" spans="1:84" ht="13.5" x14ac:dyDescent="0.25">
      <c r="A37" s="253" t="s">
        <v>1</v>
      </c>
      <c r="B37" s="432"/>
      <c r="C37" s="173" t="s">
        <v>253</v>
      </c>
      <c r="D37" s="458" t="str">
        <f t="shared" si="2"/>
        <v/>
      </c>
      <c r="E37" s="214" t="s">
        <v>251</v>
      </c>
      <c r="F37" s="173" t="s">
        <v>109</v>
      </c>
      <c r="G37" s="322">
        <v>0</v>
      </c>
      <c r="H37" s="173" t="s">
        <v>1</v>
      </c>
      <c r="I37" s="176"/>
      <c r="J37" s="736" t="str">
        <f>Tot.Head!AO17</f>
        <v/>
      </c>
      <c r="K37" s="736"/>
      <c r="L37" s="397" t="str">
        <f>IF($G$18&gt;3,"",IF($G$18&lt;=3,Tot.Head!$G$70,))</f>
        <v/>
      </c>
      <c r="M37" s="748"/>
      <c r="N37" s="688"/>
      <c r="O37" s="383" t="str">
        <f>IF($G$18&lt;4,"~~~",IF($G$18=7,"",IF($G$18=8,"",IF($G$18&gt;5,"~~~",IF($G$18=4," ",IF($G$18=5,"",IF($G$18&lt;=0,"",)))))))</f>
        <v>~~~</v>
      </c>
      <c r="P37" s="245"/>
      <c r="Q37" s="246"/>
      <c r="R37" s="475"/>
      <c r="S37" s="691"/>
      <c r="T37" s="383" t="str">
        <f>IF($G$18&lt;4,"~~~~",IF($G$18=7,"",IF($G$18=8,"",IF($G$18&gt;5,"~~~~",IF($G$18=4,"",IF($G$18=5,"",IF($G$18&lt;=0," ",)))))))</f>
        <v>~~~~</v>
      </c>
      <c r="U37" s="245"/>
      <c r="V37" s="687"/>
      <c r="W37" s="568" t="s">
        <v>249</v>
      </c>
      <c r="X37" s="569">
        <f>$AR$6</f>
        <v>1</v>
      </c>
      <c r="Y37" s="570">
        <f>$G$23</f>
        <v>5</v>
      </c>
      <c r="Z37" s="708">
        <f>$G$28</f>
        <v>27.3</v>
      </c>
      <c r="AA37" s="709"/>
      <c r="AB37" s="433"/>
      <c r="AC37" s="433"/>
      <c r="AD37" s="730"/>
      <c r="AE37" s="436"/>
      <c r="AF37" s="673" t="str">
        <f>IF($G$18=4,"I-----------------------",IF($G$18=6,"I-----------------------",IF($G$18=7,"",IF($G$18&lt;4,"",IF($G$18&gt;4,"",IF($G$18&lt;=0,"",))))))</f>
        <v/>
      </c>
      <c r="AG37" s="173" t="s">
        <v>1</v>
      </c>
      <c r="AH37" s="173" t="s">
        <v>239</v>
      </c>
      <c r="AI37" s="434"/>
      <c r="AJ37" s="176"/>
      <c r="AK37" s="176"/>
      <c r="AL37" s="176"/>
      <c r="AM37" s="176"/>
      <c r="AN37" s="344" t="s">
        <v>130</v>
      </c>
      <c r="AO37" s="176"/>
      <c r="AP37" s="173" t="s">
        <v>109</v>
      </c>
      <c r="AQ37" s="176"/>
      <c r="AR37" s="274">
        <v>1</v>
      </c>
      <c r="AS37" s="459">
        <f>Tot.Head!AO30</f>
        <v>7.0000000000000007E-2</v>
      </c>
      <c r="AT37" s="176"/>
      <c r="AU37" s="276">
        <v>0</v>
      </c>
      <c r="AV37" s="459" t="str">
        <f>Tot.Head!AQ30</f>
        <v/>
      </c>
      <c r="AW37" s="176"/>
      <c r="AX37" s="274">
        <v>0</v>
      </c>
      <c r="AY37" s="459" t="str">
        <f>Tot.Head!AS30</f>
        <v/>
      </c>
      <c r="AZ37" s="173" t="s">
        <v>1</v>
      </c>
      <c r="BA37" s="172"/>
      <c r="BB37" s="772" t="s">
        <v>179</v>
      </c>
      <c r="BC37" s="772"/>
      <c r="BD37" s="772"/>
      <c r="BE37" s="772"/>
      <c r="BF37" s="772"/>
      <c r="BG37" s="176"/>
      <c r="BH37" s="176"/>
      <c r="BI37" s="176"/>
      <c r="BJ37" s="176"/>
      <c r="BK37" s="176"/>
      <c r="BL37" s="286"/>
      <c r="BX37" s="523">
        <f>SUM(BY37:CE37)</f>
        <v>2201.4339999999997</v>
      </c>
      <c r="BY37" s="523"/>
      <c r="BZ37" s="524">
        <f>SUM(BZ38:BZ43)</f>
        <v>0</v>
      </c>
      <c r="CA37" s="524">
        <f t="shared" ref="CA37:CE37" si="3">SUM(CA38:CA43)</f>
        <v>0</v>
      </c>
      <c r="CB37" s="524">
        <f t="shared" si="3"/>
        <v>0</v>
      </c>
      <c r="CC37" s="524">
        <f t="shared" si="3"/>
        <v>0</v>
      </c>
      <c r="CD37" s="524">
        <f t="shared" si="3"/>
        <v>0</v>
      </c>
      <c r="CE37" s="524">
        <f t="shared" si="3"/>
        <v>2201.4339999999997</v>
      </c>
    </row>
    <row r="38" spans="1:84" ht="12" customHeight="1" x14ac:dyDescent="0.25">
      <c r="A38" s="253" t="s">
        <v>1</v>
      </c>
      <c r="B38" s="432"/>
      <c r="C38" s="173" t="s">
        <v>254</v>
      </c>
      <c r="D38" s="458" t="str">
        <f t="shared" si="2"/>
        <v/>
      </c>
      <c r="E38" s="214" t="s">
        <v>251</v>
      </c>
      <c r="F38" s="173" t="s">
        <v>109</v>
      </c>
      <c r="G38" s="322">
        <v>0</v>
      </c>
      <c r="H38" s="173" t="s">
        <v>1</v>
      </c>
      <c r="I38" s="176"/>
      <c r="J38" s="736" t="str">
        <f>Tot.Head!AO18</f>
        <v/>
      </c>
      <c r="K38" s="736"/>
      <c r="L38" s="399" t="s">
        <v>1</v>
      </c>
      <c r="M38" s="748"/>
      <c r="N38" s="688"/>
      <c r="O38" s="383" t="str">
        <f>IF($G$18&lt;4,"~~~",IF($G$18=7,"",IF($G$18=8,"",IF($G$18&gt;5,"~~~",IF($G$18=4," ",IF($G$18=5,"",IF($G$18&lt;=0,"",)))))))</f>
        <v>~~~</v>
      </c>
      <c r="P38" s="246"/>
      <c r="Q38" s="255"/>
      <c r="R38" s="475"/>
      <c r="S38" s="691"/>
      <c r="T38" s="383" t="str">
        <f>IF($G$18&lt;4,"~~~~",IF($G$18=7,"",IF($G$18=8,"",IF($G$18&gt;5,"~~~~",IF($G$18=4,"",IF($G$18=5,"",IF($G$18&lt;=0," ",)))))))</f>
        <v>~~~~</v>
      </c>
      <c r="U38" s="245"/>
      <c r="V38" s="687"/>
      <c r="W38" s="571" t="s">
        <v>236</v>
      </c>
      <c r="X38" s="569">
        <f>$AR$6</f>
        <v>1</v>
      </c>
      <c r="Y38" s="572">
        <f>$AR$11</f>
        <v>10</v>
      </c>
      <c r="Z38" s="719">
        <f>$AR$29</f>
        <v>36</v>
      </c>
      <c r="AA38" s="720"/>
      <c r="AB38" s="433"/>
      <c r="AC38" s="433"/>
      <c r="AD38" s="730"/>
      <c r="AE38" s="436"/>
      <c r="AF38" s="673"/>
      <c r="AG38" s="173" t="s">
        <v>1</v>
      </c>
      <c r="AH38" s="173" t="s">
        <v>240</v>
      </c>
      <c r="AI38" s="434"/>
      <c r="AJ38" s="176"/>
      <c r="AK38" s="176"/>
      <c r="AL38" s="176"/>
      <c r="AM38" s="176"/>
      <c r="AN38" s="344" t="s">
        <v>130</v>
      </c>
      <c r="AO38" s="176"/>
      <c r="AP38" s="173" t="s">
        <v>109</v>
      </c>
      <c r="AQ38" s="176"/>
      <c r="AR38" s="274">
        <v>0</v>
      </c>
      <c r="AS38" s="459" t="str">
        <f>Tot.Head!AO28</f>
        <v/>
      </c>
      <c r="AT38" s="176"/>
      <c r="AU38" s="276">
        <v>0</v>
      </c>
      <c r="AV38" s="459" t="str">
        <f>Tot.Head!AQ28</f>
        <v/>
      </c>
      <c r="AW38" s="176"/>
      <c r="AX38" s="274">
        <v>0</v>
      </c>
      <c r="AY38" s="459" t="str">
        <f>Tot.Head!AS28</f>
        <v/>
      </c>
      <c r="AZ38" s="173" t="s">
        <v>1</v>
      </c>
      <c r="BA38" s="172"/>
      <c r="BB38" s="384" t="str">
        <f>IF($AX$9&gt;0,"Pipa-3,",IF($AX$9&lt;=0,""))</f>
        <v/>
      </c>
      <c r="BC38" s="385" t="str">
        <f>IF($AX$9&gt;0,Tot.Head!$K$24,IF($AX$9&lt;=0,""))</f>
        <v/>
      </c>
      <c r="BD38" s="384" t="str">
        <f>IF($AX$9&gt;0,":",IF($AX$9&lt;=0,""))</f>
        <v/>
      </c>
      <c r="BE38" s="387" t="str">
        <f>IF($AX$9&gt;0,AX29,IF($AX$9&lt;=0,""))</f>
        <v/>
      </c>
      <c r="BF38" s="384" t="str">
        <f>IF($AX$9&gt;0,"mm",IF($AX$9&lt;=0,""))</f>
        <v/>
      </c>
      <c r="BG38" s="257"/>
      <c r="BH38" s="176"/>
      <c r="BI38" s="176"/>
      <c r="BJ38" s="176"/>
      <c r="BK38" s="176"/>
      <c r="BL38" s="286"/>
      <c r="BY38" s="516" t="s">
        <v>279</v>
      </c>
      <c r="BZ38" s="520">
        <f>IF(AND($CA$45="M3/hr",$BY$45="M3/hr"),BZ29*$BX$45,0)</f>
        <v>0</v>
      </c>
      <c r="CA38" s="520">
        <f>IF(AND($CA$45="M3/mnt",$BY$45="M3/hr"),CA29*$BX$45,0)</f>
        <v>0</v>
      </c>
      <c r="CB38" s="520">
        <f>IF(AND($CA$45="M3/sec",$BY$45="M3/hr"),CB29*$BX$45,0)</f>
        <v>0</v>
      </c>
      <c r="CC38" s="520">
        <f>IF(AND($CA$45="Lpm",$BY$45="M3/hr"),CC29*$BX$45,0)</f>
        <v>0</v>
      </c>
      <c r="CD38" s="520">
        <f>IF(AND($CA$45="Lps",$BY$45="M3/hr"),CD$29*$BX$45,0)</f>
        <v>0</v>
      </c>
      <c r="CE38" s="520">
        <f>IF(AND($CA$45="US Gpm",$BY$45="M3/hr"),CE29*$BX$45,0)</f>
        <v>2201.4339999999997</v>
      </c>
      <c r="CF38" s="537"/>
    </row>
    <row r="39" spans="1:84" ht="12" customHeight="1" x14ac:dyDescent="0.25">
      <c r="A39" s="253" t="s">
        <v>1</v>
      </c>
      <c r="B39" s="432"/>
      <c r="C39" s="173" t="s">
        <v>255</v>
      </c>
      <c r="D39" s="458">
        <f t="shared" si="2"/>
        <v>0.69</v>
      </c>
      <c r="E39" s="214" t="s">
        <v>251</v>
      </c>
      <c r="F39" s="173" t="s">
        <v>109</v>
      </c>
      <c r="G39" s="322">
        <v>1</v>
      </c>
      <c r="H39" s="173" t="s">
        <v>1</v>
      </c>
      <c r="I39" s="176"/>
      <c r="J39" s="736">
        <f>Tot.Head!AO16</f>
        <v>0.69</v>
      </c>
      <c r="K39" s="736"/>
      <c r="L39" s="176"/>
      <c r="M39" s="398" t="str">
        <f>IF($G$18&gt;3,"",IF($G$18&lt;=3,Tot.Head!$G$70,))</f>
        <v/>
      </c>
      <c r="N39" s="688"/>
      <c r="O39" s="382" t="str">
        <f>IF($G$18&lt;=1,"~~",IF($G$18=2,"~~",IF($G$18=3,"~~",IF($G$18=4,"",IF($G$18=5,"",IF($G$18=7,"",IF($G$18=8,"",IF($G$18=6,"~~",IF($G$18&gt;7,"~~",)))))))))</f>
        <v>~~</v>
      </c>
      <c r="P39" s="258"/>
      <c r="Q39" s="258"/>
      <c r="R39" s="451" t="s">
        <v>1</v>
      </c>
      <c r="S39" s="460" t="str">
        <f>IF($G$18&lt;=1,"IIII",IF($G$18=2,"IIII",IF($G$18=3,"IIII",IF($G$18=4,"",IF($G$18=5,"",IF($G$18=7,"IIIIIIII",IF($G$18=6,"IIII",IF($G$18&gt;7,"",))))))))</f>
        <v>IIII</v>
      </c>
      <c r="T39" s="785" t="str">
        <f>IF(G18=2,"~~~~~~~~~",IF(G18=3,"~~~~~~~~~",IF($G$18=7,"",IF($G$18=8,"",IF($G$18=4,"",IF($G$18=5,"",IF($G$41=0,"~~~~~~~",IF($G$41=1,"~~~~~~~",IF($G$18&gt;8,"~~~~~~~",)))))))))</f>
        <v>~~~~~~~</v>
      </c>
      <c r="U39" s="785"/>
      <c r="V39" s="687"/>
      <c r="W39" s="573" t="s">
        <v>237</v>
      </c>
      <c r="X39" s="569">
        <f>AR163</f>
        <v>0</v>
      </c>
      <c r="Y39" s="574">
        <f>Y163</f>
        <v>0</v>
      </c>
      <c r="Z39" s="717">
        <f>AX163</f>
        <v>0</v>
      </c>
      <c r="AA39" s="718"/>
      <c r="AB39" s="176"/>
      <c r="AC39" s="176"/>
      <c r="AD39" s="730"/>
      <c r="AE39" s="436"/>
      <c r="AF39" s="673"/>
      <c r="AG39" s="173" t="s">
        <v>1</v>
      </c>
      <c r="AH39" s="173" t="s">
        <v>241</v>
      </c>
      <c r="AI39" s="434"/>
      <c r="AJ39" s="176"/>
      <c r="AK39" s="176"/>
      <c r="AL39" s="176"/>
      <c r="AM39" s="176"/>
      <c r="AN39" s="344" t="s">
        <v>130</v>
      </c>
      <c r="AO39" s="176"/>
      <c r="AP39" s="173" t="s">
        <v>109</v>
      </c>
      <c r="AQ39" s="176"/>
      <c r="AR39" s="274">
        <v>1</v>
      </c>
      <c r="AS39" s="459">
        <f>Tot.Head!AO29</f>
        <v>1.1000000000000001</v>
      </c>
      <c r="AT39" s="176"/>
      <c r="AU39" s="276">
        <v>0</v>
      </c>
      <c r="AV39" s="459" t="str">
        <f>Tot.Head!AQ29</f>
        <v/>
      </c>
      <c r="AW39" s="176"/>
      <c r="AX39" s="274">
        <v>0</v>
      </c>
      <c r="AY39" s="459" t="str">
        <f>Tot.Head!AS29</f>
        <v/>
      </c>
      <c r="AZ39" s="173" t="s">
        <v>1</v>
      </c>
      <c r="BA39" s="172"/>
      <c r="BB39" s="384" t="str">
        <f>IF($AU$9&gt;0,"Pipa-2,",IF($AU$9&lt;=0,"",))</f>
        <v/>
      </c>
      <c r="BC39" s="385" t="str">
        <f>IF($AU$9&gt;0,Tot.Head!$I$24,IF($AU$9&lt;=0,"",))</f>
        <v/>
      </c>
      <c r="BD39" s="384" t="str">
        <f>IF($AU$9&gt;0,":",IF($AU$9&lt;=0,"",))</f>
        <v/>
      </c>
      <c r="BE39" s="387" t="str">
        <f>IF($AU$9&gt;0,AU29,IF($AU$9&lt;=0,"",))</f>
        <v/>
      </c>
      <c r="BF39" s="384" t="str">
        <f>IF($AU$9&gt;0,"mm",IF($AU$9&lt;=0,"",))</f>
        <v/>
      </c>
      <c r="BG39" s="259"/>
      <c r="BH39" s="176"/>
      <c r="BI39" s="176"/>
      <c r="BJ39" s="176"/>
      <c r="BK39" s="176"/>
      <c r="BL39" s="286"/>
      <c r="BY39" s="516" t="s">
        <v>277</v>
      </c>
      <c r="BZ39" s="520">
        <f>IF(AND($CA$45="M3/hr",$BY$45="M3/mnt"),BZ30*$BX$45,0)</f>
        <v>0</v>
      </c>
      <c r="CA39" s="520">
        <f>IF(AND($CA$45="M3/mnt",$BY$45="M3/mnt"),CA30*$BX$45,0)</f>
        <v>0</v>
      </c>
      <c r="CB39" s="520">
        <f>IF(AND($CA$45="M3/sec",$BY$45="M3/mnt"),CB30*$BX$45,0)</f>
        <v>0</v>
      </c>
      <c r="CC39" s="520">
        <f>IF(AND($CA$45="Lpm",$BY$45="M3/mnt"),CC30*$BX$45,0)</f>
        <v>0</v>
      </c>
      <c r="CD39" s="520">
        <f>IF(AND($CA$45="Lps",$BY$45="M3/mnt"),CD$30*$BX$45,0)</f>
        <v>0</v>
      </c>
      <c r="CE39" s="520">
        <f>IF(AND($CA$45="US Gpm",$BY$45="M3/mnt"),CE30*$BX$45,0)</f>
        <v>0</v>
      </c>
      <c r="CF39" s="537"/>
    </row>
    <row r="40" spans="1:84" ht="12" customHeight="1" x14ac:dyDescent="0.25">
      <c r="A40" s="253" t="s">
        <v>1</v>
      </c>
      <c r="B40" s="432"/>
      <c r="C40" s="173" t="s">
        <v>256</v>
      </c>
      <c r="D40" s="458" t="str">
        <f t="shared" si="2"/>
        <v/>
      </c>
      <c r="E40" s="214" t="s">
        <v>251</v>
      </c>
      <c r="F40" s="173" t="s">
        <v>109</v>
      </c>
      <c r="G40" s="322">
        <v>0</v>
      </c>
      <c r="H40" s="173" t="s">
        <v>1</v>
      </c>
      <c r="I40" s="176"/>
      <c r="J40" s="736" t="str">
        <f>Tot.Head!AO15</f>
        <v/>
      </c>
      <c r="K40" s="736"/>
      <c r="L40" s="176"/>
      <c r="M40" s="400" t="str">
        <f>IF($G$18=2,"mtr",IF($G$18=3,"mtr",IF($G$18&lt;4,"",IF($G$18=7,"",IF($G$18&gt;5,"",IF($G$18=4," ",IF($G$18=5,"",IF($G$18&lt;=0,"",))))))))</f>
        <v/>
      </c>
      <c r="N40" s="688"/>
      <c r="O40" s="494" t="str">
        <f>IF($G$18=7,"Equipt ██",IF($G$18=2," Deep well pump  ",IF($G$18=3,"  Sewage pump    ",IF($G$18=4,"",IF($G$18=5,"",IF($G$18=8,"",IF(G41=0,"   Non foot valve   ",IF(G41=1,"    Foot valve       ",IF($G$18&gt;=4,"",IF($G$34&gt;0,"",))))))))))</f>
        <v xml:space="preserve">   Non foot valve   </v>
      </c>
      <c r="P40" s="495"/>
      <c r="Q40" s="495"/>
      <c r="R40" s="495"/>
      <c r="S40" s="495"/>
      <c r="T40" s="495"/>
      <c r="U40" s="495"/>
      <c r="V40" s="687"/>
      <c r="W40" s="573" t="s">
        <v>238</v>
      </c>
      <c r="X40" s="569">
        <f>AR164</f>
        <v>0</v>
      </c>
      <c r="Y40" s="574">
        <f>Z164</f>
        <v>0</v>
      </c>
      <c r="Z40" s="717">
        <f>AX164</f>
        <v>0</v>
      </c>
      <c r="AA40" s="718"/>
      <c r="AB40" s="176"/>
      <c r="AC40" s="176"/>
      <c r="AD40" s="730"/>
      <c r="AE40" s="436"/>
      <c r="AF40" s="673"/>
      <c r="AG40" s="173" t="s">
        <v>1</v>
      </c>
      <c r="AH40" s="173" t="s">
        <v>242</v>
      </c>
      <c r="AI40" s="434"/>
      <c r="AJ40" s="176"/>
      <c r="AK40" s="176"/>
      <c r="AL40" s="176"/>
      <c r="AM40" s="176"/>
      <c r="AN40" s="344" t="s">
        <v>130</v>
      </c>
      <c r="AO40" s="176"/>
      <c r="AP40" s="173" t="s">
        <v>109</v>
      </c>
      <c r="AQ40" s="176"/>
      <c r="AR40" s="274">
        <v>2</v>
      </c>
      <c r="AS40" s="459">
        <f>Tot.Head!AO27</f>
        <v>0.66</v>
      </c>
      <c r="AT40" s="176"/>
      <c r="AU40" s="276">
        <v>1</v>
      </c>
      <c r="AV40" s="459">
        <f>Tot.Head!AQ27</f>
        <v>0.66</v>
      </c>
      <c r="AW40" s="176"/>
      <c r="AX40" s="274">
        <v>1</v>
      </c>
      <c r="AY40" s="459">
        <f>Tot.Head!AS27</f>
        <v>0.66</v>
      </c>
      <c r="AZ40" s="173" t="s">
        <v>1</v>
      </c>
      <c r="BA40" s="172"/>
      <c r="BB40" s="256" t="s">
        <v>142</v>
      </c>
      <c r="BC40" s="385" t="str">
        <f>Tot.Head!$G$24</f>
        <v>Galv iron</v>
      </c>
      <c r="BD40" s="208" t="s">
        <v>109</v>
      </c>
      <c r="BE40" s="388">
        <f>AR29</f>
        <v>36</v>
      </c>
      <c r="BF40" s="260" t="s">
        <v>89</v>
      </c>
      <c r="BG40" s="176"/>
      <c r="BH40" s="176"/>
      <c r="BI40" s="176"/>
      <c r="BJ40" s="176"/>
      <c r="BK40" s="176"/>
      <c r="BL40" s="286"/>
      <c r="BY40" s="516" t="s">
        <v>278</v>
      </c>
      <c r="BZ40" s="520">
        <f>IF(AND($CA$45="M3/hr",$BY$45="M3/sec"),BZ31*$BX$45,0)</f>
        <v>0</v>
      </c>
      <c r="CA40" s="520">
        <f>IF(AND($CA$45="M3/mnt",$BY$45="M3/sec"),CA31*$BX$45,0)</f>
        <v>0</v>
      </c>
      <c r="CB40" s="520">
        <f>IF(AND($CA$45="M3/sec",$BY$45="M3/sec"),CB31*$BX$45,0)</f>
        <v>0</v>
      </c>
      <c r="CC40" s="520">
        <f>IF(AND($CA$45="Lpm",$BY$45="M3/sec"),CC31*$BX$45,0)</f>
        <v>0</v>
      </c>
      <c r="CD40" s="520">
        <f>IF(AND($CA$45="Lps",$BY$45="M3/sec"),CD$31*$BX$45,0)</f>
        <v>0</v>
      </c>
      <c r="CE40" s="520">
        <f>IF(AND($CA$45="US Gpm",$BY$45="M3/sec"),CE31*$BX$45,0)</f>
        <v>0</v>
      </c>
      <c r="CF40" s="537"/>
    </row>
    <row r="41" spans="1:84" ht="12" customHeight="1" x14ac:dyDescent="0.2">
      <c r="A41" s="253" t="s">
        <v>1</v>
      </c>
      <c r="B41" s="432"/>
      <c r="C41" s="173" t="s">
        <v>257</v>
      </c>
      <c r="D41" s="483" t="str">
        <f t="shared" si="2"/>
        <v/>
      </c>
      <c r="E41" s="214" t="s">
        <v>251</v>
      </c>
      <c r="F41" s="173" t="s">
        <v>109</v>
      </c>
      <c r="G41" s="592">
        <v>0</v>
      </c>
      <c r="H41" s="173" t="s">
        <v>1</v>
      </c>
      <c r="I41" s="176"/>
      <c r="J41" s="736" t="str">
        <f>Tot.Head!AO19</f>
        <v/>
      </c>
      <c r="K41" s="736"/>
      <c r="L41" s="176"/>
      <c r="M41" s="176"/>
      <c r="N41" s="261" t="s">
        <v>1</v>
      </c>
      <c r="O41" s="262" t="s">
        <v>1</v>
      </c>
      <c r="P41" s="262"/>
      <c r="Q41" s="176"/>
      <c r="R41" s="467"/>
      <c r="S41" s="751" t="str">
        <f>IF(G18=7,"IIIIIIIIIII",IF(G18=4,"Hd",IF(G18=6,"Hd",IF(G18=7,"IIIIIIIIIII",IF(G18&lt;7,"",IF(G18&gt;7,"",))))))</f>
        <v/>
      </c>
      <c r="T41" s="488" t="s">
        <v>1</v>
      </c>
      <c r="U41" s="489"/>
      <c r="V41" s="489"/>
      <c r="W41" s="567" t="str">
        <f>CS161</f>
        <v>1 outlet pipe : Ld1</v>
      </c>
      <c r="X41" s="557"/>
      <c r="Y41" s="557"/>
      <c r="Z41" s="557"/>
      <c r="AA41" s="558"/>
      <c r="AB41" s="176"/>
      <c r="AC41" s="176"/>
      <c r="AD41" s="730"/>
      <c r="AE41" s="436"/>
      <c r="AF41" s="673"/>
      <c r="AG41" s="173" t="s">
        <v>1</v>
      </c>
      <c r="AH41" s="173" t="s">
        <v>243</v>
      </c>
      <c r="AI41" s="434"/>
      <c r="AJ41" s="176"/>
      <c r="AK41" s="176"/>
      <c r="AL41" s="176"/>
      <c r="AM41" s="176"/>
      <c r="AN41" s="344" t="s">
        <v>130</v>
      </c>
      <c r="AO41" s="176"/>
      <c r="AP41" s="173" t="s">
        <v>109</v>
      </c>
      <c r="AQ41" s="176"/>
      <c r="AR41" s="274">
        <v>0</v>
      </c>
      <c r="AS41" s="459" t="str">
        <f>Tot.Head!AO26</f>
        <v/>
      </c>
      <c r="AT41" s="176"/>
      <c r="AU41" s="276">
        <v>0</v>
      </c>
      <c r="AV41" s="459" t="str">
        <f>Tot.Head!AQ26</f>
        <v/>
      </c>
      <c r="AW41" s="176"/>
      <c r="AX41" s="274">
        <v>0</v>
      </c>
      <c r="AY41" s="459" t="str">
        <f>Tot.Head!AS26</f>
        <v/>
      </c>
      <c r="AZ41" s="173" t="s">
        <v>1</v>
      </c>
      <c r="BA41" s="172"/>
      <c r="BB41" s="256" t="s">
        <v>145</v>
      </c>
      <c r="BC41" s="385" t="str">
        <f>Tot.Head!$G$13</f>
        <v>Galv iron</v>
      </c>
      <c r="BD41" s="208" t="s">
        <v>109</v>
      </c>
      <c r="BE41" s="389">
        <f>G28</f>
        <v>27.3</v>
      </c>
      <c r="BF41" s="260" t="s">
        <v>89</v>
      </c>
      <c r="BG41" s="263"/>
      <c r="BH41" s="263"/>
      <c r="BI41" s="263"/>
      <c r="BJ41" s="263"/>
      <c r="BK41" s="263"/>
      <c r="BL41" s="287"/>
      <c r="BY41" s="516" t="s">
        <v>229</v>
      </c>
      <c r="BZ41" s="520">
        <f>IF(AND($CA$45="M3/hr",$BY$45="Lpm"),BZ32*$BX$45,0)</f>
        <v>0</v>
      </c>
      <c r="CA41" s="520">
        <f>IF(AND($CA$45="M3/mnt",$BY$45="Lpm"),CA32*$BX$45,0)</f>
        <v>0</v>
      </c>
      <c r="CB41" s="520">
        <f>IF(AND($CA$45="M3/sec",$BY$45="Lpm"),CB32*$BX$45,0)</f>
        <v>0</v>
      </c>
      <c r="CC41" s="520">
        <f>IF(AND($CA$45="Lpm",$BY$45="Lpm"),CC32*$BX$45,0)</f>
        <v>0</v>
      </c>
      <c r="CD41" s="520">
        <f>IF(AND($CA$45="Lps",$BY$45="Lpm"),CD$32*$BX$45,0)</f>
        <v>0</v>
      </c>
      <c r="CE41" s="520">
        <f>IF(AND($CA$45="US Gpm",$BY$45="Lpm"),CE32*$BX$45,0)</f>
        <v>0</v>
      </c>
      <c r="CF41" s="537"/>
    </row>
    <row r="42" spans="1:84" x14ac:dyDescent="0.2">
      <c r="A42" s="171"/>
      <c r="B42" s="176"/>
      <c r="C42" s="173" t="s">
        <v>106</v>
      </c>
      <c r="D42" s="173"/>
      <c r="E42" s="344" t="s">
        <v>90</v>
      </c>
      <c r="F42" s="173" t="s">
        <v>109</v>
      </c>
      <c r="G42" s="323">
        <v>0</v>
      </c>
      <c r="H42" s="173" t="s">
        <v>1</v>
      </c>
      <c r="I42" s="176"/>
      <c r="J42" s="176"/>
      <c r="K42" s="176"/>
      <c r="L42" s="176"/>
      <c r="M42" s="396" t="s">
        <v>1</v>
      </c>
      <c r="N42" s="261"/>
      <c r="O42" s="486" t="s">
        <v>1</v>
      </c>
      <c r="P42" s="217"/>
      <c r="Q42" s="176"/>
      <c r="R42" s="475"/>
      <c r="S42" s="751"/>
      <c r="T42" s="792" t="str">
        <f>IF($G$18&lt;4," ",IF($G$18=5," ",IF($G$18=8," ",IF($C$16=$C$167,"IIIIIIIIII Ld3 IIIIIIIIIIIIII",IF($C$16=$C$168,"IIIIIIIIII Ld2 IIIIIIIIIIIIII",IF(C16=C162,"IIIIIIIIII Ld1 IIIIIIIIIIIIII",IF(C16=C163,"IIIIIIIIII Ld2 IIIIIIIIIIIIII",IF($G$18=4,"IIIIIIIIII Ld3 IIIIIIIIIIIIII",IF($G$18=6,"IIIIIIIIIII Ld3 IIIIIIIIIIIIII",IF($G$18=7,"IIIIIIIIII Ld3 IIIIIIIIIIIIII",IF($G$18&lt;4," ",IF($G$18&gt;4," ",))))))))))))</f>
        <v xml:space="preserve"> </v>
      </c>
      <c r="U42" s="792"/>
      <c r="V42" s="792"/>
      <c r="W42" s="792"/>
      <c r="X42" s="792"/>
      <c r="Y42" s="699" t="str">
        <f>IF($G$18&lt;4," ",IF($G$18=5," ",IF($G$18=8," ",IF($C$16="1 outlet pipe : Ld1","IIIIIIIIII Ld1 IIIIIIIIIIIIII",IF($C$16="2 outlet pipe : Ld1+Ld2","IIIIIIIIII Ld2 IIIIIIIIIIIIII",IF($G$18=4,"IIIIIIIIII Ld2 IIIIIIIIIIIIII",IF($G$18=6,"IIIIIIIIII Ld2 IIIIIIIIIIIIII",IF($G$18=7,"IIIIIIIIII Ld2 IIIIIIIIIIIIII",IF($G$18&lt;4," ",IF($G$18&gt;4," ",))))))))))</f>
        <v xml:space="preserve"> </v>
      </c>
      <c r="Z42" s="699"/>
      <c r="AA42" s="699"/>
      <c r="AB42" s="176"/>
      <c r="AC42" s="176"/>
      <c r="AD42" s="730"/>
      <c r="AE42" s="436"/>
      <c r="AF42" s="673"/>
      <c r="AG42" s="173" t="s">
        <v>1</v>
      </c>
      <c r="AH42" s="173" t="s">
        <v>106</v>
      </c>
      <c r="AI42" s="434"/>
      <c r="AJ42" s="176"/>
      <c r="AK42" s="176"/>
      <c r="AL42" s="176"/>
      <c r="AM42" s="176"/>
      <c r="AN42" s="344" t="s">
        <v>90</v>
      </c>
      <c r="AO42" s="176"/>
      <c r="AP42" s="173" t="s">
        <v>109</v>
      </c>
      <c r="AQ42" s="176"/>
      <c r="AR42" s="275">
        <v>0</v>
      </c>
      <c r="AS42" s="176"/>
      <c r="AT42" s="176"/>
      <c r="AU42" s="275">
        <v>0</v>
      </c>
      <c r="AV42" s="176"/>
      <c r="AW42" s="176"/>
      <c r="AX42" s="275">
        <v>0</v>
      </c>
      <c r="AY42" s="280"/>
      <c r="AZ42" s="173" t="s">
        <v>1</v>
      </c>
      <c r="BA42" s="172"/>
      <c r="BB42" s="254" t="s">
        <v>143</v>
      </c>
      <c r="BC42" s="265" t="s">
        <v>146</v>
      </c>
      <c r="BD42" s="266" t="s">
        <v>109</v>
      </c>
      <c r="BE42" s="390">
        <f>Tot.Head!$F$40</f>
        <v>0.21852578846617196</v>
      </c>
      <c r="BF42" s="265" t="s">
        <v>90</v>
      </c>
      <c r="BG42" s="176"/>
      <c r="BH42" s="176"/>
      <c r="BI42" s="176"/>
      <c r="BJ42" s="176"/>
      <c r="BK42" s="176"/>
      <c r="BL42" s="286"/>
      <c r="BY42" s="516" t="s">
        <v>230</v>
      </c>
      <c r="BZ42" s="520">
        <f>IF(AND($CA$45="M3/hr",$BY$45="Lps"),BZ33*$BX$45,0)</f>
        <v>0</v>
      </c>
      <c r="CA42" s="520">
        <f>IF(AND($CA$45="M3/mnt",$BY$45="Lps"),CA33*$BX$45,0)</f>
        <v>0</v>
      </c>
      <c r="CB42" s="520">
        <f>IF(AND($CA$45="M3/sec",$BY$45="Lps"),CB33*$BX$45,0)</f>
        <v>0</v>
      </c>
      <c r="CC42" s="520">
        <f>IF(AND($CA$45="Lpm",$BY$45="Lps"),CC33*$BX$45,0)</f>
        <v>0</v>
      </c>
      <c r="CD42" s="520">
        <f>IF(AND($CA$45="Lps",$BY$45="Lps"),CD$33*$BX$45,0)</f>
        <v>0</v>
      </c>
      <c r="CE42" s="520">
        <f>IF(AND($CA$45="US Gpm",$BY$45="Lps"),CE33*$BX$45,0)</f>
        <v>0</v>
      </c>
      <c r="CF42" s="537"/>
    </row>
    <row r="43" spans="1:84" x14ac:dyDescent="0.2">
      <c r="A43" s="171"/>
      <c r="B43" s="176"/>
      <c r="C43" s="173" t="s">
        <v>111</v>
      </c>
      <c r="D43" s="173"/>
      <c r="E43" s="344" t="s">
        <v>90</v>
      </c>
      <c r="F43" s="173" t="s">
        <v>109</v>
      </c>
      <c r="G43" s="323">
        <v>0</v>
      </c>
      <c r="H43" s="173" t="s">
        <v>1</v>
      </c>
      <c r="I43" s="176"/>
      <c r="J43" s="176"/>
      <c r="K43" s="176"/>
      <c r="L43" s="176"/>
      <c r="M43" s="176"/>
      <c r="N43" s="261"/>
      <c r="O43" s="217"/>
      <c r="P43" s="217"/>
      <c r="Q43" s="176"/>
      <c r="R43" s="794" t="s">
        <v>1</v>
      </c>
      <c r="S43" s="794"/>
      <c r="T43" s="789" t="s">
        <v>1</v>
      </c>
      <c r="U43" s="789"/>
      <c r="V43" s="439"/>
      <c r="W43" s="439"/>
      <c r="X43" s="437" t="s">
        <v>1</v>
      </c>
      <c r="Y43" s="468" t="s">
        <v>1</v>
      </c>
      <c r="Z43" s="439" t="s">
        <v>1</v>
      </c>
      <c r="AA43" s="565" t="s">
        <v>1</v>
      </c>
      <c r="AB43" s="565"/>
      <c r="AC43" s="565"/>
      <c r="AD43" s="565"/>
      <c r="AE43" s="469" t="s">
        <v>1</v>
      </c>
      <c r="AF43" s="438"/>
      <c r="AG43" s="173" t="s">
        <v>1</v>
      </c>
      <c r="AH43" s="173" t="s">
        <v>107</v>
      </c>
      <c r="AI43" s="176"/>
      <c r="AJ43" s="176"/>
      <c r="AK43" s="176"/>
      <c r="AL43" s="176"/>
      <c r="AM43" s="176"/>
      <c r="AN43" s="344" t="s">
        <v>90</v>
      </c>
      <c r="AO43" s="176"/>
      <c r="AP43" s="173" t="s">
        <v>109</v>
      </c>
      <c r="AQ43" s="176"/>
      <c r="AR43" s="275">
        <v>0</v>
      </c>
      <c r="AS43" s="176"/>
      <c r="AT43" s="176"/>
      <c r="AU43" s="275">
        <v>0</v>
      </c>
      <c r="AV43" s="176"/>
      <c r="AW43" s="176"/>
      <c r="AX43" s="275">
        <v>0</v>
      </c>
      <c r="AY43" s="214"/>
      <c r="AZ43" s="173" t="s">
        <v>1</v>
      </c>
      <c r="BA43" s="172"/>
      <c r="BB43" s="254" t="s">
        <v>143</v>
      </c>
      <c r="BC43" s="265" t="s">
        <v>147</v>
      </c>
      <c r="BD43" s="268" t="s">
        <v>109</v>
      </c>
      <c r="BE43" s="390">
        <f>((BG43/BH43)^1.852)</f>
        <v>33.886248615845567</v>
      </c>
      <c r="BF43" s="254" t="s">
        <v>90</v>
      </c>
      <c r="BG43" s="386">
        <f>((3.35*((10)^6)*$Y$16))</f>
        <v>4652778.1500000004</v>
      </c>
      <c r="BH43" s="386">
        <f>((G28)^2.63)*G22</f>
        <v>694329.71329253598</v>
      </c>
      <c r="BI43" s="176"/>
      <c r="BJ43" s="176"/>
      <c r="BK43" s="176"/>
      <c r="BL43" s="286"/>
      <c r="BY43" s="516" t="s">
        <v>280</v>
      </c>
      <c r="BZ43" s="520">
        <f>IF(AND($CA$45="M3/hr",$BY$45="US Gpm"),BZ34*$BX$45,0)</f>
        <v>0</v>
      </c>
      <c r="CA43" s="520">
        <f>IF(AND($CA$45="M3/mnt",$BY$45="US Gpm"),CA34*$BX$45,0)</f>
        <v>0</v>
      </c>
      <c r="CB43" s="520">
        <f>IF(AND($CA$45="M3/sec",$BY$45="US Gpm"),CB34*$BX$45,0)</f>
        <v>0</v>
      </c>
      <c r="CC43" s="520">
        <f>IF(AND($CA$45="Lpm",$BY$45="US Gpm"),CC34*$BX$45,0)</f>
        <v>0</v>
      </c>
      <c r="CD43" s="520">
        <f>IF(AND($CA$45="Lps",$BY$45="US Gpm"),CD$34*$BX$45,0)</f>
        <v>0</v>
      </c>
      <c r="CE43" s="520">
        <f>IF(AND($CA$45="US Gpm",$BY$45="US Gpm"),CE34*$BX$45,0)</f>
        <v>0</v>
      </c>
      <c r="CF43" s="537"/>
    </row>
    <row r="44" spans="1:84" ht="12" customHeight="1" x14ac:dyDescent="0.25">
      <c r="A44" s="171"/>
      <c r="B44" s="176"/>
      <c r="C44" s="667" t="str">
        <f>IF($G$18=4,"Fill in inject pressure = 0",IF($G$18=5,"Fill in inject pressure = 0",IF($G$18=8,"For No 8, Injecton pressure",IF($G$18&lt;4,"Fill in inject pressure = 0",IF($G$18=6," ",IF($G$18=7,"Fill in inject pressure = 0",))))))</f>
        <v>Fill in inject pressure = 0</v>
      </c>
      <c r="D44" s="667"/>
      <c r="E44" s="606" t="s">
        <v>90</v>
      </c>
      <c r="F44" s="173" t="s">
        <v>109</v>
      </c>
      <c r="G44" s="546">
        <v>0</v>
      </c>
      <c r="H44" s="176"/>
      <c r="I44" s="176"/>
      <c r="J44" s="176"/>
      <c r="K44" s="695" t="s">
        <v>276</v>
      </c>
      <c r="L44" s="696"/>
      <c r="M44" s="696"/>
      <c r="N44" s="696"/>
      <c r="O44" s="696"/>
      <c r="P44" s="696"/>
      <c r="Q44" s="696"/>
      <c r="R44" s="696"/>
      <c r="S44" s="697"/>
      <c r="T44" s="793">
        <v>1000</v>
      </c>
      <c r="U44" s="793"/>
      <c r="V44" s="793"/>
      <c r="W44" s="779" t="s">
        <v>273</v>
      </c>
      <c r="X44" s="780"/>
      <c r="Y44" s="777">
        <f>$BZ$3</f>
        <v>703</v>
      </c>
      <c r="Z44" s="778"/>
      <c r="AA44" s="775" t="s">
        <v>275</v>
      </c>
      <c r="AB44" s="775"/>
      <c r="AC44" s="775"/>
      <c r="AD44" s="775"/>
      <c r="AE44" s="775"/>
      <c r="AF44" s="776"/>
      <c r="AG44" s="469"/>
      <c r="AH44" s="173" t="s">
        <v>108</v>
      </c>
      <c r="AI44" s="176"/>
      <c r="AJ44" s="176"/>
      <c r="AK44" s="176"/>
      <c r="AL44" s="176"/>
      <c r="AM44" s="176"/>
      <c r="AN44" s="344" t="s">
        <v>90</v>
      </c>
      <c r="AO44" s="176"/>
      <c r="AP44" s="173" t="s">
        <v>109</v>
      </c>
      <c r="AQ44" s="176"/>
      <c r="AR44" s="275">
        <v>0</v>
      </c>
      <c r="AS44" s="176"/>
      <c r="AT44" s="176"/>
      <c r="AU44" s="275">
        <v>0</v>
      </c>
      <c r="AV44" s="176"/>
      <c r="AW44" s="176"/>
      <c r="AX44" s="275">
        <v>0</v>
      </c>
      <c r="AY44" s="214"/>
      <c r="AZ44" s="173" t="s">
        <v>1</v>
      </c>
      <c r="BA44" s="172"/>
      <c r="BB44" s="254" t="s">
        <v>143</v>
      </c>
      <c r="BC44" s="265" t="s">
        <v>144</v>
      </c>
      <c r="BD44" s="268" t="s">
        <v>109</v>
      </c>
      <c r="BE44" s="390">
        <f>(BG44/BH44)^1.852</f>
        <v>8.4006776911686245</v>
      </c>
      <c r="BF44" s="254" t="s">
        <v>90</v>
      </c>
      <c r="BG44" s="386">
        <f>((3.35*((10)^6)*$Y$16))</f>
        <v>4652778.1500000004</v>
      </c>
      <c r="BH44" s="386">
        <f>(($AR$29)^2.63)*$AR$24</f>
        <v>1474424.4987061722</v>
      </c>
      <c r="BI44" s="176"/>
      <c r="BJ44" s="176"/>
      <c r="BK44" s="176"/>
      <c r="BL44" s="286"/>
    </row>
    <row r="45" spans="1:84" ht="13.5" x14ac:dyDescent="0.25">
      <c r="A45" s="171"/>
      <c r="B45" s="176"/>
      <c r="C45" s="435" t="str">
        <f ca="1">BB23</f>
        <v>NPSHa</v>
      </c>
      <c r="D45" s="479"/>
      <c r="E45" s="529" t="s">
        <v>286</v>
      </c>
      <c r="F45" s="173" t="s">
        <v>109</v>
      </c>
      <c r="G45" s="480">
        <f ca="1">BE23</f>
        <v>6.3545797807415489</v>
      </c>
      <c r="H45" s="176"/>
      <c r="I45" s="176"/>
      <c r="J45" s="176"/>
      <c r="K45" s="695" t="s">
        <v>281</v>
      </c>
      <c r="L45" s="696"/>
      <c r="M45" s="696"/>
      <c r="N45" s="696"/>
      <c r="O45" s="696"/>
      <c r="P45" s="696"/>
      <c r="Q45" s="696"/>
      <c r="R45" s="696"/>
      <c r="S45" s="697"/>
      <c r="T45" s="698">
        <v>500</v>
      </c>
      <c r="U45" s="698"/>
      <c r="V45" s="698"/>
      <c r="W45" s="779" t="s">
        <v>279</v>
      </c>
      <c r="X45" s="780"/>
      <c r="Y45" s="783">
        <f>BZ45</f>
        <v>2201.4339999999997</v>
      </c>
      <c r="Z45" s="784"/>
      <c r="AA45" s="781" t="s">
        <v>280</v>
      </c>
      <c r="AB45" s="781"/>
      <c r="AC45" s="781"/>
      <c r="AD45" s="781"/>
      <c r="AE45" s="781"/>
      <c r="AF45" s="782"/>
      <c r="AG45" s="173"/>
      <c r="AH45" s="173"/>
      <c r="AI45" s="176"/>
      <c r="AJ45" s="176"/>
      <c r="AK45" s="176"/>
      <c r="AL45" s="176"/>
      <c r="AM45" s="176"/>
      <c r="AN45" s="344"/>
      <c r="AO45" s="176"/>
      <c r="AP45" s="173"/>
      <c r="AQ45" s="176"/>
      <c r="AR45" s="271"/>
      <c r="AS45" s="176"/>
      <c r="AT45" s="176"/>
      <c r="AU45" s="271"/>
      <c r="AV45" s="176"/>
      <c r="AW45" s="176"/>
      <c r="AX45" s="271"/>
      <c r="AY45" s="214"/>
      <c r="AZ45" s="173"/>
      <c r="BA45" s="334"/>
      <c r="BB45" s="254"/>
      <c r="BC45" s="265"/>
      <c r="BD45" s="268"/>
      <c r="BE45" s="267"/>
      <c r="BF45" s="254"/>
      <c r="BG45" s="269"/>
      <c r="BH45" s="269"/>
      <c r="BI45" s="176"/>
      <c r="BJ45" s="176"/>
      <c r="BK45" s="176"/>
      <c r="BL45" s="286"/>
      <c r="BX45" s="278">
        <f>T45</f>
        <v>500</v>
      </c>
      <c r="BY45" s="278" t="str">
        <f>W45</f>
        <v>M3/hr</v>
      </c>
      <c r="BZ45" s="541">
        <f>BX37</f>
        <v>2201.4339999999997</v>
      </c>
      <c r="CA45" s="278" t="str">
        <f>AA45</f>
        <v>US Gpm</v>
      </c>
      <c r="CB45" s="278"/>
      <c r="CC45" s="278"/>
      <c r="CD45" s="278"/>
      <c r="CE45" s="278"/>
    </row>
    <row r="46" spans="1:84" hidden="1" x14ac:dyDescent="0.2">
      <c r="A46" s="171"/>
      <c r="B46" s="179"/>
      <c r="C46" s="743" t="str">
        <f ca="1">BB24</f>
        <v>NPSHr</v>
      </c>
      <c r="D46" s="744"/>
      <c r="E46" s="745">
        <f ca="1">BE24</f>
        <v>3</v>
      </c>
      <c r="F46" s="745"/>
      <c r="G46" s="391">
        <f ca="1">G45</f>
        <v>6.3545797807415489</v>
      </c>
      <c r="H46" s="176"/>
      <c r="I46" s="176"/>
      <c r="J46" s="176"/>
      <c r="K46" s="176"/>
      <c r="L46" s="282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6"/>
      <c r="AF46" s="327"/>
      <c r="AG46" s="173"/>
      <c r="AH46" s="173"/>
      <c r="AI46" s="176"/>
      <c r="AJ46" s="176"/>
      <c r="AK46" s="176"/>
      <c r="AL46" s="176"/>
      <c r="AM46" s="176"/>
      <c r="AN46" s="344"/>
      <c r="AO46" s="176"/>
      <c r="AP46" s="173" t="s">
        <v>1</v>
      </c>
      <c r="AQ46" s="176"/>
      <c r="AR46" s="271" t="s">
        <v>1</v>
      </c>
      <c r="AS46" s="176"/>
      <c r="AT46" s="176"/>
      <c r="AU46" s="271" t="s">
        <v>1</v>
      </c>
      <c r="AV46" s="176"/>
      <c r="AW46" s="176"/>
      <c r="AX46" s="271" t="s">
        <v>1</v>
      </c>
      <c r="AY46" s="214"/>
      <c r="AZ46" s="239"/>
      <c r="BA46" s="334"/>
      <c r="BB46" s="254"/>
      <c r="BC46" s="265"/>
      <c r="BD46" s="268"/>
      <c r="BE46" s="267"/>
      <c r="BF46" s="254"/>
      <c r="BG46" s="269"/>
      <c r="BH46" s="269"/>
      <c r="BI46" s="176"/>
      <c r="BJ46" s="176"/>
      <c r="BK46" s="176"/>
      <c r="BL46" s="286"/>
    </row>
    <row r="47" spans="1:84" hidden="1" x14ac:dyDescent="0.2">
      <c r="A47" s="171"/>
      <c r="B47" s="179"/>
      <c r="C47" s="741" t="str">
        <f ca="1">BB27</f>
        <v>NPSHa &gt; NPSHr</v>
      </c>
      <c r="D47" s="741"/>
      <c r="E47" s="741"/>
      <c r="F47" s="741"/>
      <c r="G47" s="741"/>
      <c r="H47" s="176"/>
      <c r="I47" s="176"/>
      <c r="J47" s="176"/>
      <c r="K47" s="176"/>
      <c r="L47" s="282"/>
      <c r="M47" s="392" t="str">
        <f>$BB$9</f>
        <v xml:space="preserve">Flow rate (Q)             </v>
      </c>
      <c r="N47" s="325"/>
      <c r="O47" s="325"/>
      <c r="P47" s="325"/>
      <c r="Q47" s="325"/>
      <c r="R47" s="325"/>
      <c r="S47" s="325"/>
      <c r="T47" s="325"/>
      <c r="U47" s="345" t="s">
        <v>1</v>
      </c>
      <c r="V47" s="345"/>
      <c r="W47" s="804">
        <f>BE9</f>
        <v>5.0000004000000002</v>
      </c>
      <c r="X47" s="804"/>
      <c r="Y47" s="392" t="str">
        <f>$BF$9</f>
        <v>m3/hr</v>
      </c>
      <c r="Z47" s="325"/>
      <c r="AA47" s="325"/>
      <c r="AB47" s="325"/>
      <c r="AC47" s="325"/>
      <c r="AD47" s="325"/>
      <c r="AE47" s="326"/>
      <c r="AF47" s="327"/>
      <c r="AG47" s="173"/>
      <c r="AH47" s="173"/>
      <c r="AI47" s="176"/>
      <c r="AJ47" s="176"/>
      <c r="AK47" s="176"/>
      <c r="AL47" s="176"/>
      <c r="AM47" s="176"/>
      <c r="AN47" s="344"/>
      <c r="AO47" s="176"/>
      <c r="AP47" s="173" t="s">
        <v>1</v>
      </c>
      <c r="AQ47" s="176"/>
      <c r="AR47" s="271" t="s">
        <v>1</v>
      </c>
      <c r="AS47" s="176"/>
      <c r="AT47" s="176"/>
      <c r="AU47" s="271" t="s">
        <v>1</v>
      </c>
      <c r="AV47" s="176"/>
      <c r="AW47" s="176"/>
      <c r="AX47" s="271" t="s">
        <v>1</v>
      </c>
      <c r="AY47" s="214"/>
      <c r="AZ47" s="239"/>
      <c r="BA47" s="334"/>
      <c r="BB47" s="254"/>
      <c r="BC47" s="265"/>
      <c r="BD47" s="268"/>
      <c r="BE47" s="267"/>
      <c r="BF47" s="254"/>
      <c r="BG47" s="269"/>
      <c r="BH47" s="269"/>
      <c r="BI47" s="176"/>
      <c r="BJ47" s="176"/>
      <c r="BK47" s="176"/>
      <c r="BL47" s="286"/>
      <c r="BX47" s="523">
        <f>SUM(BY47:CE47)</f>
        <v>1.388889</v>
      </c>
      <c r="BY47" s="523"/>
      <c r="BZ47" s="524">
        <f>SUM(BZ48:BZ53)</f>
        <v>0</v>
      </c>
      <c r="CA47" s="524">
        <f t="shared" ref="CA47:CE47" si="4">SUM(CA48:CA53)</f>
        <v>0</v>
      </c>
      <c r="CB47" s="524">
        <f t="shared" si="4"/>
        <v>0</v>
      </c>
      <c r="CC47" s="524">
        <f t="shared" si="4"/>
        <v>0</v>
      </c>
      <c r="CD47" s="524">
        <f t="shared" si="4"/>
        <v>1.388889</v>
      </c>
      <c r="CE47" s="524">
        <f t="shared" si="4"/>
        <v>0</v>
      </c>
    </row>
    <row r="48" spans="1:84" hidden="1" x14ac:dyDescent="0.2">
      <c r="A48" s="171"/>
      <c r="B48" s="179"/>
      <c r="C48" s="742" t="str">
        <f ca="1">BB28</f>
        <v>NO  CAVITATION</v>
      </c>
      <c r="D48" s="742"/>
      <c r="E48" s="742"/>
      <c r="F48" s="742"/>
      <c r="G48" s="742"/>
      <c r="H48" s="176"/>
      <c r="I48" s="176"/>
      <c r="J48" s="176"/>
      <c r="K48" s="176"/>
      <c r="L48" s="282"/>
      <c r="M48" s="392" t="str">
        <f>$BB$10</f>
        <v>Tot. head (H)</v>
      </c>
      <c r="N48" s="325"/>
      <c r="O48" s="325"/>
      <c r="P48" s="325"/>
      <c r="Q48" s="325"/>
      <c r="R48" s="325"/>
      <c r="S48" s="325"/>
      <c r="T48" s="325"/>
      <c r="U48" s="345" t="s">
        <v>1</v>
      </c>
      <c r="V48" s="345"/>
      <c r="W48" s="490">
        <f ca="1">BE10</f>
        <v>19.399999999999999</v>
      </c>
      <c r="X48" s="490"/>
      <c r="Y48" s="325" t="s">
        <v>223</v>
      </c>
      <c r="Z48" s="325"/>
      <c r="AA48" s="325"/>
      <c r="AB48" s="325"/>
      <c r="AC48" s="325"/>
      <c r="AD48" s="325"/>
      <c r="AE48" s="326"/>
      <c r="AF48" s="327"/>
      <c r="AG48" s="173"/>
      <c r="AH48" s="173"/>
      <c r="AI48" s="176"/>
      <c r="AJ48" s="176"/>
      <c r="AK48" s="176"/>
      <c r="AL48" s="176"/>
      <c r="AM48" s="176"/>
      <c r="AN48" s="344"/>
      <c r="AO48" s="176"/>
      <c r="AP48" s="173" t="s">
        <v>1</v>
      </c>
      <c r="AQ48" s="176"/>
      <c r="AR48" s="271" t="s">
        <v>1</v>
      </c>
      <c r="AS48" s="176"/>
      <c r="AT48" s="176"/>
      <c r="AU48" s="271" t="s">
        <v>1</v>
      </c>
      <c r="AV48" s="176"/>
      <c r="AW48" s="176"/>
      <c r="AX48" s="271" t="s">
        <v>1</v>
      </c>
      <c r="AY48" s="214"/>
      <c r="AZ48" s="239"/>
      <c r="BA48" s="334"/>
      <c r="BB48" s="254"/>
      <c r="BC48" s="265"/>
      <c r="BD48" s="268"/>
      <c r="BE48" s="267"/>
      <c r="BF48" s="254"/>
      <c r="BG48" s="269"/>
      <c r="BH48" s="269"/>
      <c r="BI48" s="176"/>
      <c r="BJ48" s="176"/>
      <c r="BK48" s="176"/>
      <c r="BL48" s="286"/>
      <c r="BY48" s="516" t="s">
        <v>279</v>
      </c>
      <c r="CD48" s="520">
        <f>IF(AND($CA$55="Lps",$BY$55="M3/hr"),CD$29*$BX$55,0)</f>
        <v>1.388889</v>
      </c>
    </row>
    <row r="49" spans="1:82" hidden="1" x14ac:dyDescent="0.2">
      <c r="A49" s="171"/>
      <c r="B49" s="179"/>
      <c r="C49" s="394" t="str">
        <f ca="1">BB29</f>
        <v/>
      </c>
      <c r="D49" s="341"/>
      <c r="E49" s="212"/>
      <c r="F49" s="211"/>
      <c r="G49" s="176"/>
      <c r="H49" s="176"/>
      <c r="I49" s="176"/>
      <c r="J49" s="176"/>
      <c r="K49" s="176"/>
      <c r="L49" s="282"/>
      <c r="M49" s="805" t="str">
        <f ca="1">$BB$11</f>
        <v xml:space="preserve"> </v>
      </c>
      <c r="N49" s="805"/>
      <c r="O49" s="805"/>
      <c r="P49" s="805"/>
      <c r="Q49" s="805"/>
      <c r="R49" s="805"/>
      <c r="S49" s="805"/>
      <c r="T49" s="805"/>
      <c r="U49" s="805"/>
      <c r="V49" s="805"/>
      <c r="W49" s="805"/>
      <c r="X49" s="805"/>
      <c r="Y49" s="805"/>
      <c r="Z49" s="805"/>
      <c r="AA49" s="805"/>
      <c r="AB49" s="805"/>
      <c r="AC49" s="805"/>
      <c r="AD49" s="805"/>
      <c r="AE49" s="805"/>
      <c r="AF49" s="327"/>
      <c r="AG49" s="173"/>
      <c r="AH49" s="173"/>
      <c r="AI49" s="176"/>
      <c r="AJ49" s="176"/>
      <c r="AK49" s="176"/>
      <c r="AL49" s="176"/>
      <c r="AM49" s="176"/>
      <c r="AN49" s="344"/>
      <c r="AO49" s="176"/>
      <c r="AP49" s="173" t="s">
        <v>1</v>
      </c>
      <c r="AQ49" s="176"/>
      <c r="AR49" s="271" t="s">
        <v>1</v>
      </c>
      <c r="AS49" s="176"/>
      <c r="AT49" s="176"/>
      <c r="AU49" s="271" t="s">
        <v>1</v>
      </c>
      <c r="AV49" s="176"/>
      <c r="AW49" s="176"/>
      <c r="AX49" s="271" t="s">
        <v>1</v>
      </c>
      <c r="AY49" s="214"/>
      <c r="AZ49" s="239"/>
      <c r="BA49" s="334"/>
      <c r="BB49" s="254"/>
      <c r="BC49" s="265"/>
      <c r="BD49" s="268"/>
      <c r="BE49" s="267"/>
      <c r="BF49" s="254"/>
      <c r="BG49" s="269"/>
      <c r="BH49" s="269"/>
      <c r="BI49" s="176"/>
      <c r="BJ49" s="176"/>
      <c r="BK49" s="176"/>
      <c r="BL49" s="286"/>
      <c r="BY49" s="516" t="s">
        <v>277</v>
      </c>
      <c r="CD49" s="520">
        <f>IF(AND($CA$55="Lps",$BY$55="M3/mnt"),CD$30*$BX$55,0)</f>
        <v>0</v>
      </c>
    </row>
    <row r="50" spans="1:82" hidden="1" x14ac:dyDescent="0.2">
      <c r="A50" s="171"/>
      <c r="B50" s="179"/>
      <c r="C50" s="394" t="str">
        <f t="shared" ref="C50:C53" ca="1" si="5">BB30</f>
        <v>Neg suction, Hs max =</v>
      </c>
      <c r="D50" s="341"/>
      <c r="E50" s="726">
        <f ca="1">BE30</f>
        <v>4.3545797807415489</v>
      </c>
      <c r="F50" s="726"/>
      <c r="G50" s="393">
        <f ca="1">G46</f>
        <v>6.3545797807415489</v>
      </c>
      <c r="H50" s="176"/>
      <c r="I50" s="176"/>
      <c r="J50" s="176"/>
      <c r="K50" s="176"/>
      <c r="L50" s="282"/>
      <c r="M50" s="392" t="str">
        <f ca="1">$BB$14</f>
        <v>Input, Pump Type</v>
      </c>
      <c r="N50" s="325"/>
      <c r="O50" s="325"/>
      <c r="P50" s="325"/>
      <c r="Q50" s="325"/>
      <c r="R50" s="325"/>
      <c r="S50" s="325"/>
      <c r="T50" s="325"/>
      <c r="U50" s="325"/>
      <c r="V50" s="325"/>
      <c r="W50" s="806"/>
      <c r="X50" s="806"/>
      <c r="Y50" s="806"/>
      <c r="Z50" s="806"/>
      <c r="AA50" s="806"/>
      <c r="AB50" s="806"/>
      <c r="AC50" s="806"/>
      <c r="AD50" s="806"/>
      <c r="AE50" s="806"/>
      <c r="AF50" s="327"/>
      <c r="AG50" s="173"/>
      <c r="AH50" s="173"/>
      <c r="AI50" s="176"/>
      <c r="AJ50" s="176"/>
      <c r="AK50" s="176"/>
      <c r="AL50" s="176"/>
      <c r="AM50" s="176"/>
      <c r="AN50" s="344"/>
      <c r="AO50" s="176"/>
      <c r="AP50" s="173" t="s">
        <v>1</v>
      </c>
      <c r="AQ50" s="176"/>
      <c r="AR50" s="271" t="s">
        <v>1</v>
      </c>
      <c r="AS50" s="176"/>
      <c r="AT50" s="176"/>
      <c r="AU50" s="271" t="s">
        <v>1</v>
      </c>
      <c r="AV50" s="176"/>
      <c r="AW50" s="176"/>
      <c r="AX50" s="271" t="s">
        <v>1</v>
      </c>
      <c r="AY50" s="214"/>
      <c r="AZ50" s="239"/>
      <c r="BA50" s="334"/>
      <c r="BB50" s="254"/>
      <c r="BC50" s="265"/>
      <c r="BD50" s="268"/>
      <c r="BE50" s="267"/>
      <c r="BF50" s="254"/>
      <c r="BG50" s="269"/>
      <c r="BH50" s="269"/>
      <c r="BI50" s="176"/>
      <c r="BJ50" s="176"/>
      <c r="BK50" s="176"/>
      <c r="BL50" s="286"/>
      <c r="BY50" s="516" t="s">
        <v>278</v>
      </c>
      <c r="CD50" s="520">
        <f>IF(AND($CA$55="Lps",$BY$55="M3/sec"),CD$31*$BX$55,0)</f>
        <v>0</v>
      </c>
    </row>
    <row r="51" spans="1:82" hidden="1" x14ac:dyDescent="0.2">
      <c r="A51" s="171"/>
      <c r="B51" s="179"/>
      <c r="C51" s="394" t="str">
        <f t="shared" ca="1" si="5"/>
        <v/>
      </c>
      <c r="D51" s="341"/>
      <c r="E51" s="212"/>
      <c r="F51" s="211"/>
      <c r="G51" s="176"/>
      <c r="H51" s="176"/>
      <c r="I51" s="176"/>
      <c r="J51" s="176"/>
      <c r="K51" s="176"/>
      <c r="L51" s="282"/>
      <c r="M51" s="392" t="str">
        <f ca="1">$BB$15</f>
        <v>Input, NPSHr</v>
      </c>
      <c r="N51" s="325"/>
      <c r="O51" s="325"/>
      <c r="P51" s="325"/>
      <c r="Q51" s="325"/>
      <c r="R51" s="325"/>
      <c r="S51" s="325"/>
      <c r="T51" s="325"/>
      <c r="U51" s="325"/>
      <c r="V51" s="325"/>
      <c r="W51" s="678">
        <f>Y22</f>
        <v>3</v>
      </c>
      <c r="X51" s="678"/>
      <c r="Y51" s="325" t="s">
        <v>223</v>
      </c>
      <c r="Z51" s="325"/>
      <c r="AA51" s="325"/>
      <c r="AB51" s="325"/>
      <c r="AC51" s="325"/>
      <c r="AD51" s="325"/>
      <c r="AE51" s="326"/>
      <c r="AF51" s="327"/>
      <c r="AG51" s="173"/>
      <c r="AH51" s="173"/>
      <c r="AI51" s="176"/>
      <c r="AJ51" s="176"/>
      <c r="AK51" s="176"/>
      <c r="AL51" s="176"/>
      <c r="AM51" s="176"/>
      <c r="AN51" s="344"/>
      <c r="AO51" s="176"/>
      <c r="AP51" s="173" t="s">
        <v>1</v>
      </c>
      <c r="AQ51" s="176"/>
      <c r="AR51" s="271" t="s">
        <v>1</v>
      </c>
      <c r="AS51" s="176"/>
      <c r="AT51" s="176"/>
      <c r="AU51" s="271" t="s">
        <v>1</v>
      </c>
      <c r="AV51" s="176"/>
      <c r="AW51" s="176"/>
      <c r="AX51" s="271" t="s">
        <v>1</v>
      </c>
      <c r="AY51" s="214"/>
      <c r="AZ51" s="239"/>
      <c r="BA51" s="334"/>
      <c r="BB51" s="254"/>
      <c r="BC51" s="265"/>
      <c r="BD51" s="268"/>
      <c r="BE51" s="267"/>
      <c r="BF51" s="254"/>
      <c r="BG51" s="269"/>
      <c r="BH51" s="269"/>
      <c r="BI51" s="176"/>
      <c r="BJ51" s="176"/>
      <c r="BK51" s="176"/>
      <c r="BL51" s="286"/>
      <c r="BY51" s="516" t="s">
        <v>229</v>
      </c>
      <c r="CD51" s="520">
        <f>IF(AND($CA$55="Lps",$BY$55="Lpm"),CD$32*$BX$55,0)</f>
        <v>0</v>
      </c>
    </row>
    <row r="52" spans="1:82" hidden="1" x14ac:dyDescent="0.2">
      <c r="A52" s="171"/>
      <c r="B52" s="179"/>
      <c r="C52" s="394" t="str">
        <f t="shared" ca="1" si="5"/>
        <v/>
      </c>
      <c r="D52" s="341"/>
      <c r="E52" s="212"/>
      <c r="F52" s="211"/>
      <c r="G52" s="176"/>
      <c r="H52" s="176"/>
      <c r="I52" s="176"/>
      <c r="J52" s="176"/>
      <c r="K52" s="176"/>
      <c r="L52" s="282"/>
      <c r="M52" s="392" t="str">
        <f ca="1">$BB$16</f>
        <v>Input, Pump Eff.</v>
      </c>
      <c r="N52" s="325"/>
      <c r="O52" s="325"/>
      <c r="P52" s="325"/>
      <c r="Q52" s="325"/>
      <c r="R52" s="325"/>
      <c r="S52" s="325"/>
      <c r="T52" s="325"/>
      <c r="U52" s="325"/>
      <c r="V52" s="325"/>
      <c r="W52" s="678">
        <f>Y23</f>
        <v>70</v>
      </c>
      <c r="X52" s="678"/>
      <c r="Y52" s="325" t="s">
        <v>11</v>
      </c>
      <c r="Z52" s="325"/>
      <c r="AA52" s="325"/>
      <c r="AB52" s="325"/>
      <c r="AC52" s="325"/>
      <c r="AD52" s="325"/>
      <c r="AE52" s="326"/>
      <c r="AF52" s="327"/>
      <c r="AG52" s="173"/>
      <c r="AH52" s="173"/>
      <c r="AI52" s="176"/>
      <c r="AJ52" s="176"/>
      <c r="AK52" s="176"/>
      <c r="AL52" s="176"/>
      <c r="AM52" s="176"/>
      <c r="AN52" s="344"/>
      <c r="AO52" s="176"/>
      <c r="AP52" s="173" t="s">
        <v>1</v>
      </c>
      <c r="AQ52" s="176"/>
      <c r="AR52" s="271" t="s">
        <v>1</v>
      </c>
      <c r="AS52" s="176"/>
      <c r="AT52" s="176"/>
      <c r="AU52" s="271" t="s">
        <v>1</v>
      </c>
      <c r="AV52" s="176"/>
      <c r="AW52" s="176"/>
      <c r="AX52" s="271" t="s">
        <v>1</v>
      </c>
      <c r="AY52" s="214"/>
      <c r="AZ52" s="239"/>
      <c r="BA52" s="334"/>
      <c r="BB52" s="254"/>
      <c r="BC52" s="265"/>
      <c r="BD52" s="268"/>
      <c r="BE52" s="267"/>
      <c r="BF52" s="254"/>
      <c r="BG52" s="269"/>
      <c r="BH52" s="269"/>
      <c r="BI52" s="176"/>
      <c r="BJ52" s="176"/>
      <c r="BK52" s="176"/>
      <c r="BL52" s="286"/>
      <c r="BY52" s="516" t="s">
        <v>230</v>
      </c>
      <c r="CD52" s="520">
        <f>IF(AND($CA$55="Lps",$BY$55="Lps"),CD$33*$BX$55,0)</f>
        <v>0</v>
      </c>
    </row>
    <row r="53" spans="1:82" hidden="1" x14ac:dyDescent="0.2">
      <c r="A53" s="171"/>
      <c r="B53" s="179"/>
      <c r="C53" s="394" t="str">
        <f t="shared" ca="1" si="5"/>
        <v/>
      </c>
      <c r="D53" s="341"/>
      <c r="E53" s="212"/>
      <c r="F53" s="211"/>
      <c r="G53" s="176"/>
      <c r="H53" s="176"/>
      <c r="I53" s="176"/>
      <c r="J53" s="176"/>
      <c r="K53" s="176"/>
      <c r="L53" s="282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6"/>
      <c r="AF53" s="327"/>
      <c r="AG53" s="173"/>
      <c r="AH53" s="173"/>
      <c r="AI53" s="176"/>
      <c r="AJ53" s="176"/>
      <c r="AK53" s="176"/>
      <c r="AL53" s="176"/>
      <c r="AM53" s="176"/>
      <c r="AN53" s="344"/>
      <c r="AO53" s="176"/>
      <c r="AP53" s="173"/>
      <c r="AQ53" s="176"/>
      <c r="AR53" s="271" t="s">
        <v>1</v>
      </c>
      <c r="AS53" s="176"/>
      <c r="AT53" s="176"/>
      <c r="AU53" s="271" t="s">
        <v>1</v>
      </c>
      <c r="AV53" s="176"/>
      <c r="AW53" s="176"/>
      <c r="AX53" s="271" t="s">
        <v>1</v>
      </c>
      <c r="AY53" s="214"/>
      <c r="AZ53" s="239"/>
      <c r="BA53" s="334"/>
      <c r="BB53" s="254"/>
      <c r="BC53" s="265"/>
      <c r="BD53" s="268"/>
      <c r="BE53" s="267"/>
      <c r="BF53" s="254"/>
      <c r="BG53" s="269"/>
      <c r="BH53" s="269"/>
      <c r="BI53" s="176"/>
      <c r="BJ53" s="176"/>
      <c r="BK53" s="176"/>
      <c r="BL53" s="286"/>
      <c r="BY53" s="516" t="s">
        <v>280</v>
      </c>
      <c r="CD53" s="520">
        <f>IF(AND($CA$55="Lps",$BY$55="US Gpm"),CD$34*$BX$55,0)</f>
        <v>0</v>
      </c>
    </row>
    <row r="54" spans="1:82" hidden="1" x14ac:dyDescent="0.2">
      <c r="A54" s="171"/>
      <c r="B54" s="440"/>
      <c r="C54" s="737" t="s">
        <v>1</v>
      </c>
      <c r="D54" s="738"/>
      <c r="E54" s="790" t="s">
        <v>1</v>
      </c>
      <c r="F54" s="790"/>
      <c r="G54" s="441" t="s">
        <v>1</v>
      </c>
      <c r="H54" s="442"/>
      <c r="I54" s="442"/>
      <c r="J54" s="442"/>
      <c r="K54" s="442"/>
      <c r="L54" s="443"/>
      <c r="M54" s="444" t="str">
        <f ca="1">$BB$18</f>
        <v>P2, pump power</v>
      </c>
      <c r="N54" s="445"/>
      <c r="O54" s="445"/>
      <c r="P54" s="445"/>
      <c r="Q54" s="445"/>
      <c r="R54" s="445"/>
      <c r="S54" s="445"/>
      <c r="T54" s="445"/>
      <c r="U54" s="445"/>
      <c r="V54" s="445"/>
      <c r="W54" s="807">
        <f ca="1">BE18</f>
        <v>0.37722225240000007</v>
      </c>
      <c r="X54" s="807"/>
      <c r="Y54" s="444" t="str">
        <f ca="1">$BF$18</f>
        <v>kW</v>
      </c>
      <c r="Z54" s="445"/>
      <c r="AA54" s="445"/>
      <c r="AB54" s="445"/>
      <c r="AC54" s="445"/>
      <c r="AD54" s="445"/>
      <c r="AE54" s="446"/>
      <c r="AF54" s="447"/>
      <c r="AG54" s="249"/>
      <c r="AH54" s="249"/>
      <c r="AI54" s="442"/>
      <c r="AJ54" s="442"/>
      <c r="AK54" s="442"/>
      <c r="AL54" s="442"/>
      <c r="AM54" s="442"/>
      <c r="AN54" s="448"/>
      <c r="AO54" s="442"/>
      <c r="AP54" s="249"/>
      <c r="AQ54" s="442"/>
      <c r="AR54" s="449" t="s">
        <v>1</v>
      </c>
      <c r="AS54" s="442"/>
      <c r="AT54" s="442"/>
      <c r="AU54" s="449" t="s">
        <v>1</v>
      </c>
      <c r="AV54" s="442"/>
      <c r="AW54" s="442"/>
      <c r="AX54" s="449" t="s">
        <v>1</v>
      </c>
      <c r="AY54" s="450"/>
      <c r="AZ54" s="250"/>
      <c r="BA54" s="334"/>
      <c r="BB54" s="254"/>
      <c r="BC54" s="265"/>
      <c r="BD54" s="268"/>
      <c r="BE54" s="267"/>
      <c r="BF54" s="254"/>
      <c r="BG54" s="269"/>
      <c r="BH54" s="269"/>
      <c r="BI54" s="176"/>
      <c r="BJ54" s="176"/>
      <c r="BK54" s="176"/>
      <c r="BL54" s="286"/>
      <c r="BX54" s="559" t="s">
        <v>1</v>
      </c>
      <c r="BY54" s="278" t="s">
        <v>1</v>
      </c>
      <c r="BZ54" s="541" t="s">
        <v>1</v>
      </c>
      <c r="CA54" s="278" t="s">
        <v>1</v>
      </c>
    </row>
    <row r="55" spans="1:82" hidden="1" x14ac:dyDescent="0.2">
      <c r="A55" s="171"/>
      <c r="B55" s="171"/>
      <c r="C55" s="739" t="s">
        <v>1</v>
      </c>
      <c r="D55" s="740"/>
      <c r="E55" s="791" t="s">
        <v>1</v>
      </c>
      <c r="F55" s="791"/>
      <c r="G55" s="331" t="s">
        <v>1</v>
      </c>
      <c r="H55" s="171"/>
      <c r="I55" s="171"/>
      <c r="J55" s="171"/>
      <c r="K55" s="171"/>
      <c r="L55" s="282"/>
      <c r="M55" s="392" t="str">
        <f ca="1">$BB$19</f>
        <v>NPSHa</v>
      </c>
      <c r="N55" s="325"/>
      <c r="O55" s="325"/>
      <c r="P55" s="325"/>
      <c r="Q55" s="325"/>
      <c r="R55" s="325"/>
      <c r="S55" s="325"/>
      <c r="T55" s="325"/>
      <c r="U55" s="325"/>
      <c r="V55" s="325"/>
      <c r="W55" s="803">
        <f ca="1">BE19</f>
        <v>6.3545797807415489</v>
      </c>
      <c r="X55" s="803"/>
      <c r="Y55" s="395" t="str">
        <f ca="1">$BF$19</f>
        <v>mtr</v>
      </c>
      <c r="Z55" s="325"/>
      <c r="AA55" s="325"/>
      <c r="AB55" s="325"/>
      <c r="AC55" s="325"/>
      <c r="AD55" s="325"/>
      <c r="AE55" s="326"/>
      <c r="AF55" s="327"/>
      <c r="AG55" s="173"/>
      <c r="AH55" s="191" t="s">
        <v>1</v>
      </c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664" t="s">
        <v>1</v>
      </c>
      <c r="AW55" s="664"/>
      <c r="AX55" s="664"/>
      <c r="AY55" s="664"/>
      <c r="AZ55" s="66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285"/>
      <c r="BX55" s="559">
        <f>Y17</f>
        <v>5</v>
      </c>
      <c r="BY55" s="278" t="str">
        <f>Z17</f>
        <v>M3/hr</v>
      </c>
      <c r="BZ55" s="541">
        <f>BX47</f>
        <v>1.388889</v>
      </c>
      <c r="CA55" s="278" t="str">
        <f>BO17</f>
        <v>Lps</v>
      </c>
    </row>
    <row r="56" spans="1:82" ht="6" hidden="1" customHeight="1" x14ac:dyDescent="0.2">
      <c r="B56" s="171"/>
      <c r="C56" s="212"/>
      <c r="D56" s="212"/>
      <c r="E56" s="212"/>
      <c r="F56" s="211"/>
      <c r="G56" s="176"/>
      <c r="H56" s="171"/>
      <c r="I56" s="171"/>
      <c r="J56" s="171"/>
      <c r="K56" s="171"/>
      <c r="L56" s="282"/>
      <c r="M56" s="282"/>
      <c r="N56" s="327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328"/>
      <c r="AB56" s="282"/>
      <c r="AC56" s="282"/>
      <c r="AD56" s="329"/>
      <c r="AE56" s="330"/>
      <c r="AF56" s="327"/>
      <c r="AG56" s="173"/>
      <c r="AH56" s="173"/>
      <c r="AI56" s="171"/>
      <c r="AJ56" s="171"/>
      <c r="AK56" s="171"/>
      <c r="AL56" s="171"/>
      <c r="AM56" s="171"/>
      <c r="AN56" s="187"/>
      <c r="AO56" s="171"/>
      <c r="AP56" s="172"/>
      <c r="AQ56" s="171"/>
      <c r="AR56" s="271"/>
      <c r="AS56" s="171"/>
      <c r="AT56" s="171"/>
      <c r="AU56" s="271"/>
      <c r="AV56" s="171"/>
      <c r="AW56" s="171"/>
      <c r="AX56" s="271"/>
      <c r="AY56" s="178"/>
      <c r="AZ56" s="172"/>
      <c r="BA56" s="278"/>
      <c r="BB56" s="298"/>
      <c r="BC56" s="299"/>
      <c r="BD56" s="300"/>
      <c r="BE56" s="301"/>
      <c r="BF56" s="298"/>
      <c r="BG56" s="302"/>
      <c r="BH56" s="302"/>
      <c r="BI56" s="303"/>
      <c r="BJ56" s="303"/>
      <c r="BK56" s="303"/>
      <c r="BL56" s="286"/>
    </row>
    <row r="57" spans="1:82" ht="3.75" hidden="1" customHeight="1" x14ac:dyDescent="0.2">
      <c r="B57" s="171"/>
      <c r="C57" s="184"/>
      <c r="D57" s="184"/>
      <c r="E57" s="184"/>
      <c r="F57" s="190"/>
      <c r="G57" s="171"/>
      <c r="H57" s="171"/>
      <c r="I57" s="171"/>
      <c r="J57" s="171"/>
      <c r="K57" s="171"/>
      <c r="L57" s="171"/>
      <c r="M57" s="171"/>
      <c r="N57" s="26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252"/>
      <c r="AB57" s="171"/>
      <c r="AC57" s="171"/>
      <c r="AD57" s="270"/>
      <c r="AE57" s="264"/>
      <c r="AF57" s="195"/>
      <c r="AG57" s="173"/>
      <c r="AH57" s="173"/>
      <c r="AI57" s="171"/>
      <c r="AJ57" s="171"/>
      <c r="AK57" s="171"/>
      <c r="AL57" s="171"/>
      <c r="AM57" s="171"/>
      <c r="AN57" s="187"/>
      <c r="AO57" s="171"/>
      <c r="AP57" s="172"/>
      <c r="AQ57" s="171"/>
      <c r="AR57" s="271"/>
      <c r="AS57" s="171"/>
      <c r="AT57" s="171"/>
      <c r="AU57" s="271"/>
      <c r="AV57" s="171"/>
      <c r="AW57" s="171"/>
      <c r="AX57" s="271"/>
      <c r="AY57" s="178"/>
      <c r="AZ57" s="172"/>
      <c r="BA57" s="278"/>
      <c r="BB57" s="298"/>
      <c r="BC57" s="299"/>
      <c r="BD57" s="300"/>
      <c r="BE57" s="301"/>
      <c r="BF57" s="298"/>
      <c r="BG57" s="302"/>
      <c r="BH57" s="302"/>
      <c r="BI57" s="303"/>
      <c r="BJ57" s="303"/>
      <c r="BK57" s="303"/>
      <c r="BL57" s="286"/>
    </row>
    <row r="58" spans="1:82" hidden="1" x14ac:dyDescent="0.2">
      <c r="C58" s="288"/>
      <c r="D58" s="288"/>
      <c r="E58" s="288"/>
      <c r="F58" s="289"/>
      <c r="N58" s="290"/>
      <c r="AA58" s="291"/>
      <c r="AD58" s="292"/>
      <c r="AE58" s="293"/>
      <c r="AF58" s="294"/>
      <c r="AG58" s="286"/>
      <c r="AH58" s="286"/>
      <c r="AN58" s="295"/>
      <c r="AP58" s="278"/>
      <c r="AR58" s="296"/>
      <c r="AU58" s="296"/>
      <c r="AX58" s="296"/>
      <c r="AY58" s="297"/>
      <c r="AZ58" s="278"/>
      <c r="BA58" s="278"/>
      <c r="BB58" s="298"/>
      <c r="BC58" s="299"/>
      <c r="BD58" s="300"/>
      <c r="BE58" s="301"/>
      <c r="BF58" s="298"/>
      <c r="BG58" s="302"/>
      <c r="BH58" s="302"/>
      <c r="BI58" s="303"/>
      <c r="BJ58" s="303"/>
      <c r="BK58" s="303"/>
      <c r="BL58" s="286"/>
    </row>
    <row r="59" spans="1:82" hidden="1" x14ac:dyDescent="0.2">
      <c r="C59" s="288"/>
      <c r="D59" s="288"/>
      <c r="E59" s="288"/>
      <c r="F59" s="289"/>
      <c r="N59" s="290"/>
      <c r="AA59" s="291"/>
      <c r="AD59" s="292"/>
      <c r="AE59" s="293"/>
      <c r="AF59" s="294"/>
      <c r="AG59" s="286"/>
      <c r="AH59" s="286"/>
      <c r="AN59" s="295"/>
      <c r="AP59" s="278"/>
      <c r="AR59" s="296"/>
      <c r="AU59" s="296"/>
      <c r="AX59" s="296"/>
      <c r="AY59" s="297"/>
      <c r="AZ59" s="278"/>
      <c r="BA59" s="278"/>
      <c r="BB59" s="298"/>
      <c r="BC59" s="299"/>
      <c r="BD59" s="300"/>
      <c r="BE59" s="301"/>
      <c r="BF59" s="298"/>
      <c r="BG59" s="302"/>
      <c r="BH59" s="302"/>
      <c r="BI59" s="303"/>
      <c r="BJ59" s="303"/>
      <c r="BK59" s="303"/>
      <c r="BL59" s="286"/>
    </row>
    <row r="60" spans="1:82" hidden="1" x14ac:dyDescent="0.2">
      <c r="C60" s="288"/>
      <c r="D60" s="288"/>
      <c r="E60" s="288"/>
      <c r="F60" s="289"/>
      <c r="N60" s="290"/>
      <c r="AA60" s="291"/>
      <c r="AD60" s="292"/>
      <c r="AE60" s="293"/>
      <c r="AF60" s="294"/>
      <c r="AG60" s="286"/>
      <c r="AH60" s="286"/>
      <c r="AN60" s="295"/>
      <c r="AP60" s="278"/>
      <c r="AR60" s="296"/>
      <c r="AU60" s="296"/>
      <c r="AX60" s="296"/>
      <c r="AY60" s="297"/>
      <c r="AZ60" s="278"/>
      <c r="BA60" s="278"/>
      <c r="BB60" s="298"/>
      <c r="BC60" s="299"/>
      <c r="BD60" s="300"/>
      <c r="BE60" s="301"/>
      <c r="BF60" s="298"/>
      <c r="BG60" s="302"/>
      <c r="BH60" s="302"/>
      <c r="BI60" s="303"/>
      <c r="BJ60" s="303"/>
      <c r="BK60" s="303"/>
      <c r="BL60" s="286"/>
    </row>
    <row r="61" spans="1:82" hidden="1" x14ac:dyDescent="0.2">
      <c r="C61" s="288"/>
      <c r="D61" s="288"/>
      <c r="E61" s="288"/>
      <c r="F61" s="289"/>
      <c r="N61" s="290"/>
      <c r="AA61" s="291"/>
      <c r="AD61" s="292"/>
      <c r="AE61" s="293"/>
      <c r="AF61" s="294"/>
      <c r="AG61" s="286"/>
      <c r="AH61" s="286"/>
      <c r="AN61" s="295"/>
      <c r="AP61" s="278"/>
      <c r="AR61" s="296"/>
      <c r="AU61" s="296"/>
      <c r="AX61" s="296"/>
      <c r="AY61" s="297"/>
      <c r="AZ61" s="278"/>
      <c r="BA61" s="278"/>
      <c r="BB61" s="298"/>
      <c r="BC61" s="299"/>
      <c r="BD61" s="300"/>
      <c r="BE61" s="301"/>
      <c r="BF61" s="298"/>
      <c r="BG61" s="302"/>
      <c r="BH61" s="302"/>
      <c r="BI61" s="303"/>
      <c r="BJ61" s="303"/>
      <c r="BK61" s="303"/>
      <c r="BL61" s="286"/>
    </row>
    <row r="62" spans="1:82" hidden="1" x14ac:dyDescent="0.2">
      <c r="C62" s="496">
        <v>0</v>
      </c>
      <c r="D62" s="288"/>
      <c r="E62" s="288"/>
      <c r="F62" s="289"/>
      <c r="N62" s="290"/>
      <c r="AA62" s="291"/>
      <c r="AD62" s="292"/>
      <c r="AE62" s="293"/>
      <c r="AF62" s="294"/>
      <c r="AG62" s="286"/>
      <c r="AH62" s="286"/>
      <c r="AN62" s="295"/>
      <c r="AP62" s="278"/>
      <c r="AR62" s="296"/>
      <c r="AU62" s="296"/>
      <c r="AX62" s="296"/>
      <c r="AY62" s="297"/>
      <c r="AZ62" s="278"/>
      <c r="BA62" s="278"/>
      <c r="BB62" s="298"/>
      <c r="BC62" s="299"/>
      <c r="BD62" s="300"/>
      <c r="BE62" s="301"/>
      <c r="BF62" s="298"/>
      <c r="BG62" s="302"/>
      <c r="BH62" s="302"/>
      <c r="BI62" s="303"/>
      <c r="BJ62" s="303"/>
      <c r="BK62" s="303"/>
      <c r="BL62" s="286"/>
    </row>
    <row r="63" spans="1:82" hidden="1" x14ac:dyDescent="0.2">
      <c r="C63" s="496">
        <v>0.05</v>
      </c>
      <c r="D63" s="288"/>
      <c r="E63" s="288"/>
      <c r="F63" s="289"/>
      <c r="N63" s="290"/>
      <c r="AA63" s="291"/>
      <c r="AD63" s="292"/>
      <c r="AE63" s="293"/>
      <c r="AF63" s="294"/>
      <c r="AG63" s="286"/>
      <c r="AH63" s="286"/>
      <c r="AN63" s="295"/>
      <c r="AP63" s="278"/>
      <c r="AR63" s="296"/>
      <c r="AU63" s="296"/>
      <c r="AX63" s="296"/>
      <c r="AY63" s="297"/>
      <c r="AZ63" s="278"/>
      <c r="BA63" s="278"/>
      <c r="BB63" s="298"/>
      <c r="BC63" s="299"/>
      <c r="BD63" s="300"/>
      <c r="BE63" s="301"/>
      <c r="BF63" s="298"/>
      <c r="BG63" s="302"/>
      <c r="BH63" s="302"/>
      <c r="BI63" s="303"/>
      <c r="BJ63" s="303"/>
      <c r="BK63" s="303"/>
      <c r="BL63" s="286"/>
    </row>
    <row r="64" spans="1:82" hidden="1" x14ac:dyDescent="0.2">
      <c r="C64" s="496">
        <v>0.1</v>
      </c>
      <c r="D64" s="288"/>
      <c r="E64" s="288"/>
      <c r="F64" s="289"/>
      <c r="N64" s="290"/>
      <c r="AA64" s="291"/>
      <c r="AD64" s="292"/>
      <c r="AE64" s="293"/>
      <c r="AF64" s="294"/>
      <c r="AG64" s="286"/>
      <c r="AH64" s="286"/>
      <c r="AN64" s="295"/>
      <c r="AP64" s="278"/>
      <c r="AR64" s="296"/>
      <c r="AU64" s="296"/>
      <c r="AX64" s="296"/>
      <c r="AY64" s="297"/>
      <c r="AZ64" s="278"/>
      <c r="BA64" s="278"/>
      <c r="BB64" s="298"/>
      <c r="BC64" s="299"/>
      <c r="BD64" s="300"/>
      <c r="BE64" s="301"/>
      <c r="BF64" s="298"/>
      <c r="BG64" s="302"/>
      <c r="BH64" s="302"/>
      <c r="BI64" s="303"/>
      <c r="BJ64" s="303"/>
      <c r="BK64" s="303"/>
      <c r="BL64" s="286"/>
    </row>
    <row r="65" spans="3:64" hidden="1" x14ac:dyDescent="0.2">
      <c r="C65" s="496">
        <v>0.15</v>
      </c>
      <c r="D65" s="288"/>
      <c r="E65" s="288"/>
      <c r="F65" s="289"/>
      <c r="N65" s="290"/>
      <c r="AA65" s="291"/>
      <c r="AD65" s="292"/>
      <c r="AE65" s="293"/>
      <c r="AF65" s="294"/>
      <c r="AG65" s="286"/>
      <c r="AH65" s="286"/>
      <c r="AN65" s="295"/>
      <c r="AP65" s="278"/>
      <c r="AR65" s="296"/>
      <c r="AU65" s="296"/>
      <c r="AX65" s="296"/>
      <c r="AY65" s="297"/>
      <c r="AZ65" s="278"/>
      <c r="BA65" s="278"/>
      <c r="BB65" s="298"/>
      <c r="BC65" s="299"/>
      <c r="BD65" s="300"/>
      <c r="BE65" s="301"/>
      <c r="BF65" s="298"/>
      <c r="BG65" s="302"/>
      <c r="BH65" s="302"/>
      <c r="BI65" s="303"/>
      <c r="BJ65" s="303"/>
      <c r="BK65" s="303"/>
      <c r="BL65" s="286"/>
    </row>
    <row r="66" spans="3:64" hidden="1" x14ac:dyDescent="0.2">
      <c r="C66" s="288"/>
      <c r="D66" s="288"/>
      <c r="E66" s="288"/>
      <c r="F66" s="289"/>
      <c r="N66" s="290"/>
      <c r="AA66" s="291"/>
      <c r="AD66" s="292"/>
      <c r="AE66" s="293"/>
      <c r="AF66" s="294"/>
      <c r="AG66" s="286"/>
      <c r="AH66" s="286"/>
      <c r="AN66" s="295"/>
      <c r="AP66" s="278"/>
      <c r="AR66" s="296"/>
      <c r="AU66" s="296"/>
      <c r="AX66" s="296"/>
      <c r="AY66" s="297"/>
      <c r="AZ66" s="278"/>
      <c r="BA66" s="278"/>
      <c r="BB66" s="298"/>
      <c r="BC66" s="299"/>
      <c r="BD66" s="300"/>
      <c r="BE66" s="301"/>
      <c r="BF66" s="298"/>
      <c r="BG66" s="302"/>
      <c r="BH66" s="302"/>
      <c r="BI66" s="303"/>
      <c r="BJ66" s="303"/>
      <c r="BK66" s="303"/>
      <c r="BL66" s="286"/>
    </row>
    <row r="67" spans="3:64" hidden="1" x14ac:dyDescent="0.2">
      <c r="C67" s="288"/>
      <c r="D67" s="288"/>
      <c r="E67" s="288"/>
      <c r="F67" s="289"/>
      <c r="N67" s="290"/>
      <c r="AA67" s="291"/>
      <c r="AD67" s="292"/>
      <c r="AE67" s="293"/>
      <c r="AF67" s="294"/>
      <c r="AG67" s="286"/>
      <c r="AH67" s="286"/>
      <c r="AN67" s="295"/>
      <c r="AP67" s="278"/>
      <c r="AR67" s="296"/>
      <c r="AU67" s="296"/>
      <c r="AX67" s="296"/>
      <c r="AY67" s="297"/>
      <c r="AZ67" s="278"/>
      <c r="BA67" s="278"/>
      <c r="BB67" s="298"/>
      <c r="BC67" s="299"/>
      <c r="BD67" s="300"/>
      <c r="BE67" s="301"/>
      <c r="BF67" s="298"/>
      <c r="BG67" s="302"/>
      <c r="BH67" s="302"/>
      <c r="BI67" s="303"/>
      <c r="BJ67" s="303"/>
      <c r="BK67" s="303"/>
      <c r="BL67" s="286"/>
    </row>
    <row r="68" spans="3:64" hidden="1" x14ac:dyDescent="0.2">
      <c r="C68" s="288"/>
      <c r="D68" s="288"/>
      <c r="E68" s="288"/>
      <c r="F68" s="289"/>
      <c r="N68" s="290"/>
      <c r="AA68" s="291"/>
      <c r="AD68" s="292"/>
      <c r="AE68" s="293"/>
      <c r="AF68" s="294"/>
      <c r="AG68" s="286"/>
      <c r="AH68" s="286"/>
      <c r="AN68" s="295"/>
      <c r="AP68" s="278"/>
      <c r="AR68" s="296"/>
      <c r="AU68" s="296"/>
      <c r="AX68" s="296"/>
      <c r="AY68" s="297"/>
      <c r="AZ68" s="278"/>
      <c r="BA68" s="278"/>
      <c r="BB68" s="298"/>
      <c r="BC68" s="299"/>
      <c r="BD68" s="300"/>
      <c r="BE68" s="301"/>
      <c r="BF68" s="298"/>
      <c r="BG68" s="302"/>
      <c r="BH68" s="302"/>
      <c r="BI68" s="303"/>
      <c r="BJ68" s="303"/>
      <c r="BK68" s="303"/>
      <c r="BL68" s="286"/>
    </row>
    <row r="69" spans="3:64" hidden="1" x14ac:dyDescent="0.2">
      <c r="C69" s="288">
        <v>0</v>
      </c>
      <c r="D69" s="288"/>
      <c r="E69" s="288"/>
      <c r="F69" s="289"/>
      <c r="N69" s="290"/>
      <c r="AA69" s="291"/>
      <c r="AD69" s="292"/>
      <c r="AE69" s="293"/>
      <c r="AF69" s="294"/>
      <c r="AG69" s="286"/>
      <c r="AH69" s="286"/>
      <c r="AN69" s="295"/>
      <c r="AP69" s="278"/>
      <c r="AR69" s="296"/>
      <c r="AU69" s="296"/>
      <c r="AX69" s="296"/>
      <c r="AY69" s="297"/>
      <c r="AZ69" s="278"/>
      <c r="BA69" s="278"/>
      <c r="BB69" s="298"/>
      <c r="BC69" s="299"/>
      <c r="BD69" s="300"/>
      <c r="BE69" s="301"/>
      <c r="BF69" s="298"/>
      <c r="BG69" s="302"/>
      <c r="BH69" s="302"/>
      <c r="BI69" s="303"/>
      <c r="BJ69" s="303"/>
      <c r="BK69" s="303"/>
      <c r="BL69" s="286"/>
    </row>
    <row r="70" spans="3:64" hidden="1" x14ac:dyDescent="0.2">
      <c r="C70" s="288">
        <v>1</v>
      </c>
      <c r="D70" s="288"/>
      <c r="E70" s="288"/>
      <c r="F70" s="289"/>
      <c r="N70" s="290"/>
      <c r="AA70" s="291"/>
      <c r="AD70" s="292"/>
      <c r="AE70" s="293"/>
      <c r="AF70" s="294"/>
      <c r="AG70" s="286"/>
      <c r="AH70" s="286"/>
      <c r="AN70" s="295"/>
      <c r="AP70" s="278"/>
      <c r="AR70" s="296"/>
      <c r="AU70" s="296"/>
      <c r="AX70" s="296"/>
      <c r="AY70" s="297"/>
      <c r="AZ70" s="278"/>
      <c r="BA70" s="278"/>
      <c r="BB70" s="298"/>
      <c r="BC70" s="299"/>
      <c r="BD70" s="300"/>
      <c r="BE70" s="301"/>
      <c r="BF70" s="298"/>
      <c r="BG70" s="302"/>
      <c r="BH70" s="302"/>
      <c r="BI70" s="303"/>
      <c r="BJ70" s="303"/>
      <c r="BK70" s="303"/>
      <c r="BL70" s="286"/>
    </row>
    <row r="71" spans="3:64" hidden="1" x14ac:dyDescent="0.2">
      <c r="C71" s="288"/>
      <c r="D71" s="800" t="s">
        <v>1</v>
      </c>
      <c r="E71" s="800"/>
      <c r="F71" s="289"/>
      <c r="L71" s="338" t="s">
        <v>1</v>
      </c>
      <c r="N71" s="290"/>
      <c r="AA71" s="291"/>
      <c r="AD71" s="292"/>
      <c r="AE71" s="293"/>
      <c r="AF71" s="294"/>
      <c r="AG71" s="286"/>
      <c r="AH71" s="286"/>
      <c r="AN71" s="295"/>
      <c r="AP71" s="278"/>
      <c r="AR71" s="296"/>
      <c r="AU71" s="296"/>
      <c r="AX71" s="296"/>
      <c r="AY71" s="297"/>
      <c r="AZ71" s="278"/>
      <c r="BA71" s="278"/>
      <c r="BB71" s="298"/>
      <c r="BC71" s="299"/>
      <c r="BD71" s="300"/>
      <c r="BE71" s="301"/>
      <c r="BF71" s="298"/>
      <c r="BG71" s="302"/>
      <c r="BH71" s="302"/>
      <c r="BI71" s="303"/>
      <c r="BJ71" s="303"/>
      <c r="BK71" s="303"/>
      <c r="BL71" s="286"/>
    </row>
    <row r="72" spans="3:64" hidden="1" x14ac:dyDescent="0.2">
      <c r="C72" s="289" t="s">
        <v>1</v>
      </c>
      <c r="D72" s="797" t="s">
        <v>1</v>
      </c>
      <c r="E72" s="797"/>
      <c r="F72" s="797"/>
      <c r="G72" s="514"/>
      <c r="L72" s="798" t="s">
        <v>1</v>
      </c>
      <c r="M72" s="798"/>
      <c r="N72" s="798"/>
      <c r="O72" s="79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507"/>
      <c r="AB72" s="278"/>
      <c r="AC72" s="278"/>
      <c r="AD72" s="508"/>
      <c r="AE72" s="509"/>
      <c r="AF72" s="510"/>
      <c r="AG72" s="286"/>
      <c r="AH72" s="286"/>
      <c r="AI72" s="278"/>
      <c r="AJ72" s="278"/>
      <c r="AK72" s="278"/>
      <c r="AL72" s="278"/>
      <c r="AM72" s="278"/>
      <c r="AN72" s="295"/>
      <c r="AO72" s="278"/>
      <c r="AP72" s="278"/>
      <c r="AQ72" s="278"/>
      <c r="AR72" s="296"/>
      <c r="AU72" s="296"/>
      <c r="AX72" s="296"/>
      <c r="AY72" s="297"/>
      <c r="AZ72" s="278"/>
      <c r="BA72" s="278"/>
      <c r="BB72" s="298"/>
      <c r="BC72" s="299"/>
      <c r="BD72" s="300"/>
      <c r="BE72" s="301"/>
      <c r="BF72" s="298"/>
      <c r="BG72" s="302"/>
      <c r="BH72" s="302"/>
      <c r="BI72" s="303"/>
      <c r="BJ72" s="303"/>
      <c r="BK72" s="303"/>
      <c r="BL72" s="286"/>
    </row>
    <row r="73" spans="3:64" hidden="1" x14ac:dyDescent="0.2">
      <c r="C73" s="289" t="s">
        <v>1</v>
      </c>
      <c r="D73" s="801" t="s">
        <v>1</v>
      </c>
      <c r="E73" s="802"/>
      <c r="F73" s="802"/>
      <c r="L73" s="799" t="s">
        <v>1</v>
      </c>
      <c r="M73" s="799"/>
      <c r="N73" s="799"/>
      <c r="O73" s="511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507"/>
      <c r="AB73" s="278"/>
      <c r="AC73" s="278"/>
      <c r="AD73" s="508"/>
      <c r="AE73" s="509"/>
      <c r="AF73" s="510"/>
      <c r="AG73" s="286"/>
      <c r="AH73" s="286"/>
      <c r="AI73" s="278"/>
      <c r="AJ73" s="278"/>
      <c r="AK73" s="278"/>
      <c r="AL73" s="278"/>
      <c r="AM73" s="278"/>
      <c r="AN73" s="295"/>
      <c r="AO73" s="278"/>
      <c r="AP73" s="278"/>
      <c r="AQ73" s="278"/>
      <c r="AR73" s="296"/>
      <c r="AU73" s="296"/>
      <c r="AX73" s="296"/>
      <c r="AY73" s="297"/>
      <c r="AZ73" s="278"/>
      <c r="BA73" s="278"/>
      <c r="BB73" s="298"/>
      <c r="BC73" s="299"/>
      <c r="BD73" s="300"/>
      <c r="BE73" s="301"/>
      <c r="BF73" s="298"/>
      <c r="BG73" s="302"/>
      <c r="BH73" s="302"/>
      <c r="BI73" s="303"/>
      <c r="BJ73" s="303"/>
      <c r="BK73" s="303"/>
      <c r="BL73" s="286"/>
    </row>
    <row r="74" spans="3:64" hidden="1" x14ac:dyDescent="0.2">
      <c r="C74" s="289" t="s">
        <v>1</v>
      </c>
      <c r="D74" s="773" t="s">
        <v>1</v>
      </c>
      <c r="E74" s="774"/>
      <c r="F74" s="774"/>
      <c r="L74" s="278"/>
      <c r="M74" s="278"/>
      <c r="N74" s="512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507"/>
      <c r="AB74" s="278"/>
      <c r="AC74" s="278"/>
      <c r="AD74" s="508"/>
      <c r="AE74" s="509"/>
      <c r="AF74" s="510"/>
      <c r="AG74" s="286"/>
      <c r="AH74" s="286"/>
      <c r="AI74" s="278"/>
      <c r="AJ74" s="278"/>
      <c r="AK74" s="278"/>
      <c r="AL74" s="278"/>
      <c r="AM74" s="278"/>
      <c r="AN74" s="295"/>
      <c r="AO74" s="278"/>
      <c r="AP74" s="278"/>
      <c r="AQ74" s="278"/>
      <c r="AR74" s="296"/>
      <c r="AU74" s="296"/>
      <c r="AX74" s="296"/>
      <c r="AY74" s="297"/>
      <c r="AZ74" s="278"/>
      <c r="BA74" s="278"/>
      <c r="BB74" s="298"/>
      <c r="BC74" s="299"/>
      <c r="BD74" s="300"/>
      <c r="BE74" s="301"/>
      <c r="BF74" s="298"/>
      <c r="BG74" s="302"/>
      <c r="BH74" s="302"/>
      <c r="BI74" s="303"/>
      <c r="BJ74" s="303"/>
      <c r="BK74" s="303"/>
      <c r="BL74" s="286"/>
    </row>
    <row r="75" spans="3:64" hidden="1" x14ac:dyDescent="0.2">
      <c r="C75" s="289" t="s">
        <v>1</v>
      </c>
      <c r="D75" s="542" t="s">
        <v>1</v>
      </c>
      <c r="E75" s="515"/>
      <c r="F75" s="515"/>
      <c r="L75" s="278"/>
      <c r="M75" s="278"/>
      <c r="N75" s="512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507"/>
      <c r="AB75" s="278"/>
      <c r="AC75" s="278"/>
      <c r="AD75" s="508"/>
      <c r="AE75" s="509"/>
      <c r="AF75" s="510"/>
      <c r="AG75" s="286"/>
      <c r="AH75" s="286"/>
      <c r="AI75" s="278"/>
      <c r="AJ75" s="278"/>
      <c r="AK75" s="278"/>
      <c r="AL75" s="278"/>
      <c r="AM75" s="278"/>
      <c r="AN75" s="295"/>
      <c r="AO75" s="278"/>
      <c r="AP75" s="278"/>
      <c r="AQ75" s="278"/>
      <c r="AR75" s="296"/>
      <c r="AU75" s="296"/>
      <c r="AX75" s="296"/>
      <c r="AY75" s="297"/>
      <c r="AZ75" s="278"/>
      <c r="BA75" s="278"/>
      <c r="BB75" s="298"/>
      <c r="BC75" s="299"/>
      <c r="BD75" s="300"/>
      <c r="BE75" s="301"/>
      <c r="BF75" s="298"/>
      <c r="BG75" s="302"/>
      <c r="BH75" s="302"/>
      <c r="BI75" s="303"/>
      <c r="BJ75" s="303"/>
      <c r="BK75" s="303"/>
      <c r="BL75" s="286"/>
    </row>
    <row r="76" spans="3:64" hidden="1" x14ac:dyDescent="0.2">
      <c r="C76" s="289" t="s">
        <v>1</v>
      </c>
      <c r="D76" s="513" t="s">
        <v>1</v>
      </c>
      <c r="E76" s="288"/>
      <c r="F76" s="289"/>
      <c r="L76" s="278"/>
      <c r="M76" s="278"/>
      <c r="N76" s="512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507"/>
      <c r="AB76" s="278"/>
      <c r="AC76" s="278"/>
      <c r="AD76" s="508"/>
      <c r="AE76" s="509"/>
      <c r="AF76" s="510"/>
      <c r="AG76" s="286"/>
      <c r="AH76" s="286"/>
      <c r="AI76" s="278"/>
      <c r="AJ76" s="278"/>
      <c r="AK76" s="278"/>
      <c r="AL76" s="278"/>
      <c r="AM76" s="278"/>
      <c r="AN76" s="295"/>
      <c r="AO76" s="278"/>
      <c r="AP76" s="278"/>
      <c r="AQ76" s="278"/>
      <c r="AR76" s="296"/>
      <c r="AU76" s="296"/>
      <c r="AX76" s="296"/>
      <c r="AY76" s="297"/>
      <c r="AZ76" s="278"/>
      <c r="BA76" s="278"/>
      <c r="BB76" s="298"/>
      <c r="BC76" s="299"/>
      <c r="BD76" s="300"/>
      <c r="BE76" s="301"/>
      <c r="BF76" s="298"/>
      <c r="BG76" s="302"/>
      <c r="BH76" s="302"/>
      <c r="BI76" s="303"/>
      <c r="BJ76" s="303"/>
      <c r="BK76" s="303"/>
      <c r="BL76" s="286"/>
    </row>
    <row r="77" spans="3:64" hidden="1" x14ac:dyDescent="0.2">
      <c r="C77" s="288"/>
      <c r="D77" s="288"/>
      <c r="E77" s="288"/>
      <c r="F77" s="289"/>
      <c r="N77" s="290"/>
      <c r="AA77" s="291"/>
      <c r="AD77" s="292"/>
      <c r="AE77" s="293"/>
      <c r="AF77" s="294"/>
      <c r="AG77" s="286"/>
      <c r="AH77" s="286"/>
      <c r="AN77" s="295"/>
      <c r="AP77" s="278"/>
      <c r="AR77" s="296"/>
      <c r="AU77" s="296"/>
      <c r="AX77" s="296"/>
      <c r="AY77" s="297"/>
      <c r="AZ77" s="278"/>
      <c r="BA77" s="278"/>
      <c r="BB77" s="298"/>
      <c r="BC77" s="299"/>
      <c r="BD77" s="300"/>
      <c r="BE77" s="301"/>
      <c r="BF77" s="298"/>
      <c r="BG77" s="302"/>
      <c r="BH77" s="302"/>
      <c r="BI77" s="303"/>
      <c r="BJ77" s="303"/>
      <c r="BK77" s="303"/>
      <c r="BL77" s="286"/>
    </row>
    <row r="78" spans="3:64" hidden="1" x14ac:dyDescent="0.2">
      <c r="C78" s="288"/>
      <c r="D78" s="288"/>
      <c r="E78" s="288"/>
      <c r="F78" s="289"/>
      <c r="N78" s="290"/>
      <c r="AA78" s="291"/>
      <c r="AD78" s="292"/>
      <c r="AE78" s="293"/>
      <c r="AF78" s="294"/>
      <c r="AG78" s="286"/>
      <c r="AH78" s="286"/>
      <c r="AN78" s="295"/>
      <c r="AP78" s="278"/>
      <c r="AR78" s="296"/>
      <c r="AU78" s="296"/>
      <c r="AX78" s="296"/>
      <c r="AY78" s="297"/>
      <c r="AZ78" s="278"/>
      <c r="BA78" s="278"/>
      <c r="BB78" s="298"/>
      <c r="BC78" s="299"/>
      <c r="BD78" s="300"/>
      <c r="BE78" s="301"/>
      <c r="BF78" s="298"/>
      <c r="BG78" s="302"/>
      <c r="BH78" s="302"/>
      <c r="BI78" s="303"/>
      <c r="BJ78" s="303"/>
      <c r="BK78" s="303"/>
      <c r="BL78" s="286"/>
    </row>
    <row r="79" spans="3:64" hidden="1" x14ac:dyDescent="0.2">
      <c r="C79" s="288"/>
      <c r="D79" s="288"/>
      <c r="E79" s="288"/>
      <c r="F79" s="289"/>
      <c r="N79" s="290"/>
      <c r="AA79" s="291"/>
      <c r="AD79" s="292"/>
      <c r="AE79" s="293"/>
      <c r="AF79" s="294"/>
      <c r="AG79" s="286"/>
      <c r="AH79" s="286"/>
      <c r="AN79" s="295"/>
      <c r="AP79" s="278"/>
      <c r="AR79" s="296"/>
      <c r="AU79" s="296"/>
      <c r="AX79" s="296"/>
      <c r="AY79" s="297"/>
      <c r="AZ79" s="278"/>
      <c r="BA79" s="278"/>
      <c r="BB79" s="298"/>
      <c r="BC79" s="299"/>
      <c r="BD79" s="300"/>
      <c r="BE79" s="301"/>
      <c r="BF79" s="298"/>
      <c r="BG79" s="302"/>
      <c r="BH79" s="302"/>
      <c r="BI79" s="303"/>
      <c r="BJ79" s="303"/>
      <c r="BK79" s="303"/>
      <c r="BL79" s="286"/>
    </row>
    <row r="80" spans="3:64" hidden="1" x14ac:dyDescent="0.2">
      <c r="C80" s="288"/>
      <c r="D80" s="288"/>
      <c r="E80" s="288"/>
      <c r="F80" s="289"/>
      <c r="N80" s="290"/>
      <c r="AA80" s="291"/>
      <c r="AD80" s="292"/>
      <c r="AE80" s="293"/>
      <c r="AF80" s="294"/>
      <c r="AG80" s="286"/>
      <c r="AH80" s="286"/>
      <c r="AN80" s="295"/>
      <c r="AP80" s="278"/>
      <c r="AR80" s="296"/>
      <c r="AU80" s="296"/>
      <c r="AX80" s="296"/>
      <c r="AY80" s="297"/>
      <c r="AZ80" s="278"/>
      <c r="BA80" s="278"/>
      <c r="BB80" s="298"/>
      <c r="BC80" s="299"/>
      <c r="BD80" s="300"/>
      <c r="BE80" s="301"/>
      <c r="BF80" s="298"/>
      <c r="BG80" s="302"/>
      <c r="BH80" s="302"/>
      <c r="BI80" s="303"/>
      <c r="BJ80" s="303"/>
      <c r="BK80" s="303"/>
      <c r="BL80" s="286"/>
    </row>
    <row r="81" spans="3:64" hidden="1" x14ac:dyDescent="0.2">
      <c r="C81" s="288"/>
      <c r="D81" s="288"/>
      <c r="E81" s="288"/>
      <c r="F81" s="289"/>
      <c r="N81" s="290"/>
      <c r="AA81" s="291"/>
      <c r="AD81" s="292"/>
      <c r="AE81" s="293"/>
      <c r="AF81" s="294"/>
      <c r="AG81" s="286"/>
      <c r="AH81" s="286"/>
      <c r="AN81" s="295"/>
      <c r="AP81" s="278"/>
      <c r="AR81" s="296"/>
      <c r="AU81" s="296"/>
      <c r="AX81" s="296"/>
      <c r="AY81" s="297"/>
      <c r="AZ81" s="278"/>
      <c r="BA81" s="278"/>
      <c r="BB81" s="298"/>
      <c r="BC81" s="299"/>
      <c r="BD81" s="300"/>
      <c r="BE81" s="301"/>
      <c r="BF81" s="298"/>
      <c r="BG81" s="302"/>
      <c r="BH81" s="302"/>
      <c r="BI81" s="303"/>
      <c r="BJ81" s="303"/>
      <c r="BK81" s="303"/>
      <c r="BL81" s="286"/>
    </row>
    <row r="82" spans="3:64" hidden="1" x14ac:dyDescent="0.2">
      <c r="C82" s="288"/>
      <c r="D82" s="288"/>
      <c r="E82" s="288"/>
      <c r="F82" s="289"/>
      <c r="N82" s="290"/>
      <c r="AA82" s="291"/>
      <c r="AD82" s="292"/>
      <c r="AE82" s="293"/>
      <c r="AF82" s="294"/>
      <c r="AG82" s="286"/>
      <c r="AH82" s="286"/>
      <c r="AN82" s="295"/>
      <c r="AP82" s="278"/>
      <c r="AR82" s="296"/>
      <c r="AU82" s="296"/>
      <c r="AX82" s="296"/>
      <c r="AY82" s="297"/>
      <c r="AZ82" s="278"/>
      <c r="BA82" s="278"/>
      <c r="BB82" s="298"/>
      <c r="BC82" s="299"/>
      <c r="BD82" s="300"/>
      <c r="BE82" s="301"/>
      <c r="BF82" s="298"/>
      <c r="BG82" s="302"/>
      <c r="BH82" s="302"/>
      <c r="BI82" s="303"/>
      <c r="BJ82" s="303"/>
      <c r="BK82" s="303"/>
      <c r="BL82" s="286"/>
    </row>
    <row r="83" spans="3:64" hidden="1" x14ac:dyDescent="0.2">
      <c r="C83" s="288"/>
      <c r="D83" s="288"/>
      <c r="E83" s="288"/>
      <c r="F83" s="289"/>
      <c r="N83" s="290"/>
      <c r="AA83" s="291"/>
      <c r="AD83" s="292"/>
      <c r="AE83" s="293"/>
      <c r="AF83" s="294"/>
      <c r="AG83" s="286"/>
      <c r="AH83" s="286"/>
      <c r="AN83" s="295"/>
      <c r="AP83" s="278"/>
      <c r="AR83" s="296"/>
      <c r="AU83" s="296"/>
      <c r="AX83" s="296"/>
      <c r="AY83" s="297"/>
      <c r="AZ83" s="278"/>
      <c r="BA83" s="278"/>
      <c r="BB83" s="298"/>
      <c r="BC83" s="299"/>
      <c r="BD83" s="300"/>
      <c r="BE83" s="301"/>
      <c r="BF83" s="298"/>
      <c r="BG83" s="302"/>
      <c r="BH83" s="302"/>
      <c r="BI83" s="303"/>
      <c r="BJ83" s="303"/>
      <c r="BK83" s="303"/>
      <c r="BL83" s="286"/>
    </row>
    <row r="84" spans="3:64" hidden="1" x14ac:dyDescent="0.2">
      <c r="C84" s="288"/>
      <c r="D84" s="288"/>
      <c r="E84" s="288"/>
      <c r="F84" s="289"/>
      <c r="N84" s="290"/>
      <c r="AA84" s="291"/>
      <c r="AD84" s="292"/>
      <c r="AE84" s="293"/>
      <c r="AF84" s="294"/>
      <c r="AG84" s="286"/>
      <c r="AH84" s="286"/>
      <c r="AN84" s="295"/>
      <c r="AP84" s="278"/>
      <c r="AR84" s="296"/>
      <c r="AU84" s="296"/>
      <c r="AX84" s="296"/>
      <c r="AY84" s="297"/>
      <c r="AZ84" s="278"/>
      <c r="BA84" s="278"/>
      <c r="BB84" s="298"/>
      <c r="BC84" s="299"/>
      <c r="BD84" s="300"/>
      <c r="BE84" s="301"/>
      <c r="BF84" s="298"/>
      <c r="BG84" s="302"/>
      <c r="BH84" s="302"/>
      <c r="BI84" s="303"/>
      <c r="BJ84" s="303"/>
      <c r="BK84" s="303"/>
      <c r="BL84" s="286"/>
    </row>
    <row r="85" spans="3:64" hidden="1" x14ac:dyDescent="0.2">
      <c r="C85" s="288"/>
      <c r="D85" s="288"/>
      <c r="E85" s="288"/>
      <c r="F85" s="289"/>
      <c r="N85" s="290"/>
      <c r="AA85" s="291"/>
      <c r="AD85" s="292"/>
      <c r="AE85" s="293"/>
      <c r="AF85" s="294"/>
      <c r="AG85" s="286"/>
      <c r="AH85" s="286"/>
      <c r="AN85" s="295"/>
      <c r="AP85" s="278"/>
      <c r="AR85" s="296"/>
      <c r="AU85" s="296"/>
      <c r="AX85" s="296"/>
      <c r="AY85" s="297"/>
      <c r="AZ85" s="278"/>
      <c r="BA85" s="278"/>
      <c r="BB85" s="298"/>
      <c r="BC85" s="299"/>
      <c r="BD85" s="300"/>
      <c r="BE85" s="301"/>
      <c r="BF85" s="298"/>
      <c r="BG85" s="302"/>
      <c r="BH85" s="302"/>
      <c r="BI85" s="303"/>
      <c r="BJ85" s="303"/>
      <c r="BK85" s="303"/>
      <c r="BL85" s="286"/>
    </row>
    <row r="86" spans="3:64" hidden="1" x14ac:dyDescent="0.2">
      <c r="C86" s="288"/>
      <c r="D86" s="288"/>
      <c r="E86" s="288"/>
      <c r="F86" s="289"/>
      <c r="N86" s="290"/>
      <c r="AA86" s="291"/>
      <c r="AD86" s="292"/>
      <c r="AE86" s="293"/>
      <c r="AF86" s="294"/>
      <c r="AG86" s="286"/>
      <c r="AH86" s="286"/>
      <c r="AN86" s="295"/>
      <c r="AP86" s="278"/>
      <c r="AR86" s="296"/>
      <c r="AU86" s="296"/>
      <c r="AX86" s="296"/>
      <c r="AY86" s="297"/>
      <c r="AZ86" s="278"/>
      <c r="BA86" s="278"/>
      <c r="BB86" s="298"/>
      <c r="BC86" s="299"/>
      <c r="BD86" s="300"/>
      <c r="BE86" s="301"/>
      <c r="BF86" s="298"/>
      <c r="BG86" s="302"/>
      <c r="BH86" s="302"/>
      <c r="BI86" s="303"/>
      <c r="BJ86" s="303"/>
      <c r="BK86" s="303"/>
      <c r="BL86" s="286"/>
    </row>
    <row r="87" spans="3:64" hidden="1" x14ac:dyDescent="0.2">
      <c r="C87" s="288"/>
      <c r="D87" s="288"/>
      <c r="E87" s="288"/>
      <c r="F87" s="289"/>
      <c r="N87" s="290"/>
      <c r="AA87" s="291"/>
      <c r="AD87" s="292"/>
      <c r="AE87" s="293"/>
      <c r="AF87" s="294"/>
      <c r="AG87" s="286"/>
      <c r="AH87" s="286"/>
      <c r="AN87" s="295"/>
      <c r="AP87" s="278"/>
      <c r="AR87" s="296"/>
      <c r="AU87" s="296"/>
      <c r="AX87" s="296"/>
      <c r="AY87" s="297"/>
      <c r="AZ87" s="278"/>
      <c r="BA87" s="278"/>
      <c r="BB87" s="298"/>
      <c r="BC87" s="299"/>
      <c r="BD87" s="300"/>
      <c r="BE87" s="301"/>
      <c r="BF87" s="298"/>
      <c r="BG87" s="302"/>
      <c r="BH87" s="302"/>
      <c r="BI87" s="303"/>
      <c r="BJ87" s="303"/>
      <c r="BK87" s="303"/>
      <c r="BL87" s="286"/>
    </row>
    <row r="88" spans="3:64" hidden="1" x14ac:dyDescent="0.2">
      <c r="C88" s="288"/>
      <c r="D88" s="288"/>
      <c r="E88" s="288"/>
      <c r="F88" s="289"/>
      <c r="N88" s="290"/>
      <c r="AA88" s="291"/>
      <c r="AD88" s="292"/>
      <c r="AE88" s="293"/>
      <c r="AF88" s="294"/>
      <c r="AG88" s="286"/>
      <c r="AH88" s="286"/>
      <c r="AN88" s="295"/>
      <c r="AP88" s="278"/>
      <c r="AR88" s="296"/>
      <c r="AU88" s="296"/>
      <c r="AX88" s="296"/>
      <c r="AY88" s="297"/>
      <c r="AZ88" s="278"/>
      <c r="BA88" s="278"/>
      <c r="BB88" s="298"/>
      <c r="BC88" s="299"/>
      <c r="BD88" s="300"/>
      <c r="BE88" s="301"/>
      <c r="BF88" s="298"/>
      <c r="BG88" s="302"/>
      <c r="BH88" s="302"/>
      <c r="BI88" s="303"/>
      <c r="BJ88" s="303"/>
      <c r="BK88" s="303"/>
      <c r="BL88" s="286"/>
    </row>
    <row r="89" spans="3:64" hidden="1" x14ac:dyDescent="0.2">
      <c r="C89" s="288"/>
      <c r="D89" s="288"/>
      <c r="E89" s="288"/>
      <c r="F89" s="289"/>
      <c r="N89" s="290"/>
      <c r="AA89" s="291"/>
      <c r="AD89" s="292"/>
      <c r="AE89" s="293"/>
      <c r="AF89" s="294"/>
      <c r="AG89" s="286"/>
      <c r="AH89" s="286"/>
      <c r="AN89" s="295"/>
      <c r="AP89" s="278"/>
      <c r="AR89" s="296"/>
      <c r="AU89" s="296"/>
      <c r="AX89" s="296"/>
      <c r="AY89" s="297"/>
      <c r="AZ89" s="278"/>
      <c r="BA89" s="278"/>
      <c r="BB89" s="298"/>
      <c r="BC89" s="299"/>
      <c r="BD89" s="300"/>
      <c r="BE89" s="301"/>
      <c r="BF89" s="298"/>
      <c r="BG89" s="302"/>
      <c r="BH89" s="302"/>
      <c r="BI89" s="303"/>
      <c r="BJ89" s="303"/>
      <c r="BK89" s="303"/>
      <c r="BL89" s="286"/>
    </row>
    <row r="90" spans="3:64" hidden="1" x14ac:dyDescent="0.2">
      <c r="C90" s="288"/>
      <c r="D90" s="288"/>
      <c r="E90" s="288"/>
      <c r="F90" s="289"/>
      <c r="N90" s="290"/>
      <c r="AA90" s="291"/>
      <c r="AD90" s="292"/>
      <c r="AE90" s="293"/>
      <c r="AF90" s="294"/>
      <c r="AG90" s="286"/>
      <c r="AH90" s="286"/>
      <c r="AN90" s="295"/>
      <c r="AP90" s="278"/>
      <c r="AR90" s="296"/>
      <c r="AU90" s="296"/>
      <c r="AX90" s="296"/>
      <c r="AY90" s="297"/>
      <c r="AZ90" s="278"/>
      <c r="BA90" s="278"/>
      <c r="BB90" s="298"/>
      <c r="BC90" s="299"/>
      <c r="BD90" s="300"/>
      <c r="BE90" s="301"/>
      <c r="BF90" s="298"/>
      <c r="BG90" s="302"/>
      <c r="BH90" s="302"/>
      <c r="BI90" s="303"/>
      <c r="BJ90" s="303"/>
      <c r="BK90" s="303"/>
      <c r="BL90" s="286"/>
    </row>
    <row r="91" spans="3:64" hidden="1" x14ac:dyDescent="0.2">
      <c r="C91" s="288"/>
      <c r="D91" s="288"/>
      <c r="E91" s="288"/>
      <c r="F91" s="289"/>
      <c r="N91" s="290"/>
      <c r="AA91" s="291"/>
      <c r="AD91" s="292"/>
      <c r="AE91" s="293"/>
      <c r="AF91" s="294"/>
      <c r="AG91" s="286"/>
      <c r="AH91" s="286"/>
      <c r="AN91" s="295"/>
      <c r="AP91" s="278"/>
      <c r="AR91" s="296"/>
      <c r="AU91" s="296"/>
      <c r="AX91" s="296"/>
      <c r="AY91" s="297"/>
      <c r="AZ91" s="278"/>
      <c r="BA91" s="278"/>
      <c r="BB91" s="298"/>
      <c r="BC91" s="299"/>
      <c r="BD91" s="300"/>
      <c r="BE91" s="301"/>
      <c r="BF91" s="298"/>
      <c r="BG91" s="302"/>
      <c r="BH91" s="302"/>
      <c r="BI91" s="303"/>
      <c r="BJ91" s="303"/>
      <c r="BK91" s="303"/>
      <c r="BL91" s="286"/>
    </row>
    <row r="92" spans="3:64" hidden="1" x14ac:dyDescent="0.2">
      <c r="C92" s="288"/>
      <c r="D92" s="288"/>
      <c r="E92" s="288"/>
      <c r="F92" s="289"/>
      <c r="N92" s="290"/>
      <c r="AA92" s="291"/>
      <c r="AD92" s="292"/>
      <c r="AE92" s="293"/>
      <c r="AF92" s="294"/>
      <c r="AG92" s="286"/>
      <c r="AH92" s="286"/>
      <c r="AN92" s="295"/>
      <c r="AP92" s="278"/>
      <c r="AR92" s="296"/>
      <c r="AU92" s="296"/>
      <c r="AX92" s="296"/>
      <c r="AY92" s="297"/>
      <c r="AZ92" s="278"/>
      <c r="BA92" s="278"/>
      <c r="BB92" s="298"/>
      <c r="BC92" s="299"/>
      <c r="BD92" s="300"/>
      <c r="BE92" s="301"/>
      <c r="BF92" s="298"/>
      <c r="BG92" s="302"/>
      <c r="BH92" s="302"/>
      <c r="BI92" s="303"/>
      <c r="BJ92" s="303"/>
      <c r="BK92" s="303"/>
      <c r="BL92" s="286"/>
    </row>
    <row r="93" spans="3:64" hidden="1" x14ac:dyDescent="0.2">
      <c r="C93" s="288"/>
      <c r="D93" s="288"/>
      <c r="E93" s="288"/>
      <c r="F93" s="289"/>
      <c r="N93" s="290"/>
      <c r="AA93" s="291"/>
      <c r="AD93" s="292"/>
      <c r="AE93" s="293"/>
      <c r="AF93" s="294"/>
      <c r="AG93" s="286"/>
      <c r="AH93" s="286"/>
      <c r="AN93" s="295"/>
      <c r="AP93" s="278"/>
      <c r="AR93" s="296"/>
      <c r="AU93" s="296"/>
      <c r="AX93" s="296"/>
      <c r="AY93" s="297"/>
      <c r="AZ93" s="278"/>
      <c r="BA93" s="278"/>
      <c r="BB93" s="298"/>
      <c r="BC93" s="299"/>
      <c r="BD93" s="300"/>
      <c r="BE93" s="301"/>
      <c r="BF93" s="298"/>
      <c r="BG93" s="302"/>
      <c r="BH93" s="302"/>
      <c r="BI93" s="303"/>
      <c r="BJ93" s="303"/>
      <c r="BK93" s="303"/>
      <c r="BL93" s="286"/>
    </row>
    <row r="94" spans="3:64" hidden="1" x14ac:dyDescent="0.2">
      <c r="C94" s="288"/>
      <c r="D94" s="288"/>
      <c r="E94" s="288"/>
      <c r="F94" s="289"/>
      <c r="N94" s="290"/>
      <c r="AA94" s="291"/>
      <c r="AD94" s="292"/>
      <c r="AE94" s="293"/>
      <c r="AF94" s="294"/>
      <c r="AG94" s="286"/>
      <c r="AH94" s="286"/>
      <c r="AN94" s="295"/>
      <c r="AP94" s="278"/>
      <c r="AR94" s="296"/>
      <c r="AU94" s="296"/>
      <c r="AX94" s="296"/>
      <c r="AY94" s="297"/>
      <c r="AZ94" s="278"/>
      <c r="BA94" s="278"/>
      <c r="BB94" s="298"/>
      <c r="BC94" s="299"/>
      <c r="BD94" s="300"/>
      <c r="BE94" s="301"/>
      <c r="BF94" s="298"/>
      <c r="BG94" s="302"/>
      <c r="BH94" s="302"/>
      <c r="BI94" s="303"/>
      <c r="BJ94" s="303"/>
      <c r="BK94" s="303"/>
      <c r="BL94" s="286"/>
    </row>
    <row r="95" spans="3:64" hidden="1" x14ac:dyDescent="0.2">
      <c r="C95" s="288"/>
      <c r="D95" s="288"/>
      <c r="E95" s="288"/>
      <c r="F95" s="289"/>
      <c r="N95" s="290"/>
      <c r="AA95" s="291"/>
      <c r="AD95" s="292"/>
      <c r="AE95" s="293"/>
      <c r="AF95" s="294"/>
      <c r="AG95" s="286"/>
      <c r="AH95" s="286"/>
      <c r="AN95" s="295"/>
      <c r="AP95" s="278"/>
      <c r="AR95" s="296"/>
      <c r="AU95" s="296"/>
      <c r="AX95" s="296"/>
      <c r="AY95" s="297"/>
      <c r="AZ95" s="278"/>
      <c r="BA95" s="278"/>
      <c r="BB95" s="298"/>
      <c r="BC95" s="299"/>
      <c r="BD95" s="300"/>
      <c r="BE95" s="301"/>
      <c r="BF95" s="298"/>
      <c r="BG95" s="302"/>
      <c r="BH95" s="302"/>
      <c r="BI95" s="303"/>
      <c r="BJ95" s="303"/>
      <c r="BK95" s="303"/>
      <c r="BL95" s="286"/>
    </row>
    <row r="96" spans="3:64" hidden="1" x14ac:dyDescent="0.2">
      <c r="C96" s="288"/>
      <c r="D96" s="288"/>
      <c r="E96" s="288"/>
      <c r="F96" s="289"/>
      <c r="N96" s="290"/>
      <c r="AA96" s="291"/>
      <c r="AD96" s="292"/>
      <c r="AE96" s="293"/>
      <c r="AF96" s="294"/>
      <c r="AG96" s="286"/>
      <c r="AH96" s="286"/>
      <c r="AN96" s="295"/>
      <c r="AP96" s="278"/>
      <c r="AR96" s="296"/>
      <c r="AU96" s="296"/>
      <c r="AX96" s="296"/>
      <c r="AY96" s="297"/>
      <c r="AZ96" s="278"/>
      <c r="BA96" s="278"/>
      <c r="BB96" s="298"/>
      <c r="BC96" s="299"/>
      <c r="BD96" s="300"/>
      <c r="BE96" s="301"/>
      <c r="BF96" s="298"/>
      <c r="BG96" s="302"/>
      <c r="BH96" s="302"/>
      <c r="BI96" s="303"/>
      <c r="BJ96" s="303"/>
      <c r="BK96" s="303"/>
      <c r="BL96" s="286"/>
    </row>
    <row r="97" spans="1:64" hidden="1" x14ac:dyDescent="0.2">
      <c r="C97" s="288"/>
      <c r="D97" s="288"/>
      <c r="E97" s="288"/>
      <c r="F97" s="289"/>
      <c r="N97" s="290"/>
      <c r="AA97" s="291"/>
      <c r="AD97" s="292"/>
      <c r="AE97" s="293"/>
      <c r="AF97" s="294"/>
      <c r="AG97" s="286"/>
      <c r="AH97" s="286"/>
      <c r="AN97" s="295"/>
      <c r="AP97" s="278"/>
      <c r="AR97" s="296"/>
      <c r="AU97" s="296"/>
      <c r="AX97" s="296"/>
      <c r="AY97" s="297"/>
      <c r="AZ97" s="278"/>
      <c r="BA97" s="278"/>
      <c r="BB97" s="298"/>
      <c r="BC97" s="299"/>
      <c r="BD97" s="300"/>
      <c r="BE97" s="301"/>
      <c r="BF97" s="298"/>
      <c r="BG97" s="302"/>
      <c r="BH97" s="302"/>
      <c r="BI97" s="303"/>
      <c r="BJ97" s="303"/>
      <c r="BK97" s="303"/>
      <c r="BL97" s="286"/>
    </row>
    <row r="98" spans="1:64" hidden="1" x14ac:dyDescent="0.2">
      <c r="C98" s="288"/>
      <c r="D98" s="288"/>
      <c r="E98" s="288"/>
      <c r="F98" s="289"/>
      <c r="N98" s="290"/>
      <c r="AA98" s="291"/>
      <c r="AD98" s="292"/>
      <c r="AE98" s="293"/>
      <c r="AF98" s="294"/>
      <c r="AG98" s="286"/>
      <c r="AH98" s="286"/>
      <c r="AN98" s="295"/>
      <c r="AP98" s="278"/>
      <c r="AR98" s="296"/>
      <c r="AU98" s="296"/>
      <c r="AX98" s="296"/>
      <c r="AY98" s="297"/>
      <c r="AZ98" s="278"/>
      <c r="BA98" s="278"/>
      <c r="BB98" s="298"/>
      <c r="BC98" s="299"/>
      <c r="BD98" s="300"/>
      <c r="BE98" s="301"/>
      <c r="BF98" s="298"/>
      <c r="BG98" s="302"/>
      <c r="BH98" s="302"/>
      <c r="BI98" s="303"/>
      <c r="BJ98" s="303"/>
      <c r="BK98" s="303"/>
      <c r="BL98" s="286"/>
    </row>
    <row r="99" spans="1:64" hidden="1" x14ac:dyDescent="0.2">
      <c r="C99" s="288"/>
      <c r="D99" s="288"/>
      <c r="E99" s="288"/>
      <c r="F99" s="289"/>
      <c r="N99" s="290"/>
      <c r="AA99" s="291"/>
      <c r="AD99" s="292"/>
      <c r="AE99" s="293"/>
      <c r="AF99" s="294"/>
      <c r="AG99" s="286"/>
      <c r="AH99" s="286"/>
      <c r="AN99" s="295"/>
      <c r="AP99" s="278"/>
      <c r="AR99" s="296"/>
      <c r="AU99" s="296"/>
      <c r="AX99" s="296"/>
      <c r="AY99" s="297"/>
      <c r="AZ99" s="278"/>
      <c r="BA99" s="278"/>
      <c r="BB99" s="298"/>
      <c r="BC99" s="299"/>
      <c r="BD99" s="300"/>
      <c r="BE99" s="301"/>
      <c r="BF99" s="298"/>
      <c r="BG99" s="302"/>
      <c r="BH99" s="302"/>
      <c r="BI99" s="303"/>
      <c r="BJ99" s="303"/>
      <c r="BK99" s="303"/>
      <c r="BL99" s="286"/>
    </row>
    <row r="100" spans="1:64" hidden="1" x14ac:dyDescent="0.2">
      <c r="C100" s="288"/>
      <c r="D100" s="288"/>
      <c r="E100" s="288"/>
      <c r="F100" s="289"/>
      <c r="N100" s="290"/>
      <c r="AA100" s="291"/>
      <c r="AD100" s="292"/>
      <c r="AE100" s="293"/>
      <c r="AF100" s="294"/>
      <c r="AG100" s="286"/>
      <c r="AH100" s="286"/>
      <c r="AN100" s="295"/>
      <c r="AP100" s="278"/>
      <c r="AR100" s="296"/>
      <c r="AU100" s="296"/>
      <c r="AX100" s="296"/>
      <c r="AY100" s="297"/>
      <c r="AZ100" s="278"/>
      <c r="BA100" s="278"/>
      <c r="BB100" s="298"/>
      <c r="BC100" s="299"/>
      <c r="BD100" s="300"/>
      <c r="BE100" s="301"/>
      <c r="BF100" s="298"/>
      <c r="BG100" s="302"/>
      <c r="BH100" s="302"/>
      <c r="BI100" s="303"/>
      <c r="BJ100" s="303"/>
      <c r="BK100" s="303"/>
      <c r="BL100" s="286"/>
    </row>
    <row r="101" spans="1:64" hidden="1" x14ac:dyDescent="0.2">
      <c r="C101" s="288"/>
      <c r="D101" s="288"/>
      <c r="E101" s="288"/>
      <c r="F101" s="289"/>
      <c r="N101" s="290"/>
      <c r="AA101" s="291"/>
      <c r="AD101" s="292"/>
      <c r="AE101" s="293"/>
      <c r="AF101" s="294"/>
      <c r="AG101" s="286"/>
      <c r="AH101" s="286"/>
      <c r="AN101" s="295"/>
      <c r="AP101" s="278"/>
      <c r="AR101" s="296"/>
      <c r="AU101" s="296"/>
      <c r="AX101" s="296"/>
      <c r="AY101" s="297"/>
      <c r="AZ101" s="278"/>
      <c r="BA101" s="278"/>
      <c r="BB101" s="298"/>
      <c r="BC101" s="299"/>
      <c r="BD101" s="300"/>
      <c r="BE101" s="301"/>
      <c r="BF101" s="298"/>
      <c r="BG101" s="302"/>
      <c r="BH101" s="302"/>
      <c r="BI101" s="303"/>
      <c r="BJ101" s="303"/>
      <c r="BK101" s="303"/>
      <c r="BL101" s="286"/>
    </row>
    <row r="102" spans="1:64" hidden="1" x14ac:dyDescent="0.2">
      <c r="C102" s="288"/>
      <c r="D102" s="288"/>
      <c r="E102" s="288"/>
      <c r="F102" s="289"/>
      <c r="N102" s="290"/>
      <c r="AA102" s="291"/>
      <c r="AD102" s="292"/>
      <c r="AE102" s="293"/>
      <c r="AF102" s="294"/>
      <c r="AG102" s="286"/>
      <c r="AH102" s="286"/>
      <c r="AN102" s="295"/>
      <c r="AP102" s="278"/>
      <c r="AR102" s="296"/>
      <c r="AU102" s="296"/>
      <c r="AX102" s="296"/>
      <c r="AY102" s="297"/>
      <c r="AZ102" s="278"/>
      <c r="BA102" s="278"/>
      <c r="BB102" s="298"/>
      <c r="BC102" s="299"/>
      <c r="BD102" s="300"/>
      <c r="BE102" s="301"/>
      <c r="BF102" s="298"/>
      <c r="BG102" s="302"/>
      <c r="BH102" s="302"/>
      <c r="BI102" s="303"/>
      <c r="BJ102" s="303"/>
      <c r="BK102" s="303"/>
      <c r="BL102" s="286"/>
    </row>
    <row r="103" spans="1:64" hidden="1" x14ac:dyDescent="0.2">
      <c r="C103" s="288"/>
      <c r="D103" s="288"/>
      <c r="E103" s="288"/>
      <c r="F103" s="289"/>
      <c r="N103" s="290"/>
      <c r="AA103" s="291"/>
      <c r="AD103" s="292"/>
      <c r="AE103" s="293"/>
      <c r="AF103" s="294"/>
      <c r="AG103" s="286"/>
      <c r="AH103" s="286"/>
      <c r="AN103" s="295"/>
      <c r="AP103" s="278"/>
      <c r="AR103" s="296"/>
      <c r="AU103" s="296"/>
      <c r="AX103" s="296"/>
      <c r="AY103" s="297"/>
      <c r="AZ103" s="278"/>
      <c r="BA103" s="278"/>
      <c r="BB103" s="298"/>
      <c r="BC103" s="299"/>
      <c r="BD103" s="300"/>
      <c r="BE103" s="301"/>
      <c r="BF103" s="298"/>
      <c r="BG103" s="302"/>
      <c r="BH103" s="302"/>
      <c r="BI103" s="303"/>
      <c r="BJ103" s="303"/>
      <c r="BK103" s="303"/>
      <c r="BL103" s="286"/>
    </row>
    <row r="104" spans="1:64" hidden="1" x14ac:dyDescent="0.2">
      <c r="C104" s="288"/>
      <c r="D104" s="288"/>
      <c r="E104" s="288"/>
      <c r="F104" s="289"/>
      <c r="N104" s="290"/>
      <c r="AA104" s="291"/>
      <c r="AD104" s="292"/>
      <c r="AE104" s="293"/>
      <c r="AF104" s="294"/>
      <c r="AG104" s="286"/>
      <c r="AH104" s="286"/>
      <c r="AN104" s="295"/>
      <c r="AP104" s="278"/>
      <c r="AR104" s="296"/>
      <c r="AU104" s="296"/>
      <c r="AX104" s="296"/>
      <c r="AY104" s="297"/>
      <c r="AZ104" s="278"/>
      <c r="BA104" s="278"/>
      <c r="BB104" s="298"/>
      <c r="BC104" s="299"/>
      <c r="BD104" s="300"/>
      <c r="BE104" s="301"/>
      <c r="BF104" s="298"/>
      <c r="BG104" s="302"/>
      <c r="BH104" s="302"/>
      <c r="BI104" s="303"/>
      <c r="BJ104" s="303"/>
      <c r="BK104" s="303"/>
      <c r="BL104" s="286"/>
    </row>
    <row r="105" spans="1:64" hidden="1" x14ac:dyDescent="0.2">
      <c r="C105" s="288"/>
      <c r="D105" s="288"/>
      <c r="E105" s="288"/>
      <c r="F105" s="289"/>
      <c r="N105" s="290"/>
      <c r="AA105" s="291"/>
      <c r="AD105" s="292"/>
      <c r="AE105" s="293"/>
      <c r="AF105" s="294"/>
      <c r="AG105" s="286"/>
      <c r="AH105" s="286"/>
      <c r="AN105" s="295"/>
      <c r="AP105" s="278"/>
      <c r="AR105" s="296"/>
      <c r="AU105" s="296"/>
      <c r="AX105" s="296"/>
      <c r="AY105" s="297"/>
      <c r="AZ105" s="278"/>
      <c r="BA105" s="278"/>
      <c r="BB105" s="298"/>
      <c r="BC105" s="299"/>
      <c r="BD105" s="300"/>
      <c r="BE105" s="301"/>
      <c r="BF105" s="298"/>
      <c r="BG105" s="302"/>
      <c r="BH105" s="302"/>
      <c r="BI105" s="303"/>
      <c r="BJ105" s="303"/>
      <c r="BK105" s="303"/>
      <c r="BL105" s="286"/>
    </row>
    <row r="106" spans="1:64" ht="5.0999999999999996" hidden="1" customHeight="1" x14ac:dyDescent="0.2">
      <c r="C106" s="288"/>
      <c r="D106" s="288"/>
      <c r="E106" s="288"/>
      <c r="F106" s="289"/>
      <c r="N106" s="290"/>
      <c r="AA106" s="291"/>
      <c r="AD106" s="292"/>
      <c r="AE106" s="293"/>
      <c r="AF106" s="294"/>
      <c r="AG106" s="286"/>
      <c r="AH106" s="286"/>
      <c r="AZ106" s="278"/>
      <c r="BA106" s="278"/>
      <c r="BB106" s="277"/>
      <c r="BC106" s="304"/>
      <c r="BD106" s="305"/>
      <c r="BE106" s="306"/>
      <c r="BF106" s="277"/>
      <c r="BG106" s="307"/>
      <c r="BH106" s="302"/>
      <c r="BI106" s="303"/>
      <c r="BJ106" s="303"/>
      <c r="BK106" s="303"/>
      <c r="BL106" s="286"/>
    </row>
    <row r="107" spans="1:64" hidden="1" x14ac:dyDescent="0.2">
      <c r="A107" s="278" t="s">
        <v>1</v>
      </c>
      <c r="B107" s="278"/>
      <c r="C107" s="749" t="s">
        <v>1</v>
      </c>
      <c r="D107" s="749"/>
      <c r="E107" s="747"/>
      <c r="F107" s="747"/>
      <c r="G107" s="747"/>
      <c r="H107" s="747"/>
      <c r="I107" s="747"/>
      <c r="J107" s="747"/>
      <c r="K107" s="747"/>
      <c r="L107" s="747"/>
      <c r="M107" s="747"/>
      <c r="N107" s="747"/>
      <c r="O107" s="747"/>
      <c r="P107" s="747"/>
      <c r="Q107" s="747"/>
      <c r="R107" s="747"/>
      <c r="S107" s="747"/>
      <c r="T107" s="747"/>
      <c r="U107" s="747"/>
      <c r="V107" s="747"/>
      <c r="W107" s="747"/>
      <c r="X107" s="747"/>
      <c r="Y107" s="747"/>
      <c r="Z107" s="747"/>
      <c r="AA107" s="747"/>
      <c r="AB107" s="747"/>
      <c r="AC107" s="747"/>
      <c r="AD107" s="747"/>
      <c r="AE107" s="747"/>
      <c r="AF107" s="747"/>
      <c r="AG107" s="747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308" t="s">
        <v>1</v>
      </c>
      <c r="AS107" s="278"/>
      <c r="AT107" s="278"/>
      <c r="AU107" s="278" t="s">
        <v>1</v>
      </c>
      <c r="AV107" s="278"/>
      <c r="AW107" s="278"/>
      <c r="AX107" s="278"/>
      <c r="AY107" s="297"/>
      <c r="AZ107" s="278"/>
      <c r="BA107" s="278"/>
      <c r="BB107" s="309" t="s">
        <v>1</v>
      </c>
      <c r="BC107" s="310"/>
      <c r="BD107" s="310"/>
      <c r="BE107" s="310"/>
      <c r="BF107" s="310"/>
      <c r="BH107" s="303"/>
      <c r="BI107" s="303"/>
      <c r="BJ107" s="303"/>
      <c r="BK107" s="303"/>
      <c r="BL107" s="286"/>
    </row>
    <row r="108" spans="1:64" hidden="1" x14ac:dyDescent="0.2">
      <c r="A108" s="278"/>
      <c r="B108" s="278"/>
      <c r="C108" s="747" t="s">
        <v>1</v>
      </c>
      <c r="D108" s="747"/>
      <c r="E108" s="747"/>
      <c r="F108" s="747"/>
      <c r="G108" s="747"/>
      <c r="H108" s="747"/>
      <c r="I108" s="747"/>
      <c r="J108" s="747"/>
      <c r="K108" s="747"/>
      <c r="L108" s="747"/>
      <c r="M108" s="747"/>
      <c r="N108" s="747"/>
      <c r="O108" s="747"/>
      <c r="P108" s="747"/>
      <c r="Q108" s="747"/>
      <c r="R108" s="747"/>
      <c r="S108" s="747"/>
      <c r="T108" s="747"/>
      <c r="U108" s="747"/>
      <c r="V108" s="747"/>
      <c r="W108" s="747"/>
      <c r="X108" s="747"/>
      <c r="Y108" s="747"/>
      <c r="Z108" s="747"/>
      <c r="AA108" s="747"/>
      <c r="AB108" s="747"/>
      <c r="AC108" s="747"/>
      <c r="AD108" s="747"/>
      <c r="AE108" s="747"/>
      <c r="AF108" s="747"/>
      <c r="AG108" s="747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311" t="s">
        <v>1</v>
      </c>
      <c r="AS108" s="278"/>
      <c r="AT108" s="278"/>
      <c r="AU108" s="278"/>
      <c r="AV108" s="278"/>
      <c r="AW108" s="278"/>
      <c r="AX108" s="278"/>
      <c r="AY108" s="297"/>
      <c r="AZ108" s="278"/>
      <c r="BA108" s="278"/>
      <c r="BB108" s="309" t="s">
        <v>1</v>
      </c>
      <c r="BC108" s="312"/>
      <c r="BD108" s="312"/>
      <c r="BE108" s="312"/>
      <c r="BF108" s="312"/>
      <c r="BH108" s="303"/>
      <c r="BI108" s="303"/>
      <c r="BJ108" s="303"/>
      <c r="BK108" s="303"/>
      <c r="BL108" s="286"/>
    </row>
    <row r="109" spans="1:64" hidden="1" x14ac:dyDescent="0.2">
      <c r="A109" s="278"/>
      <c r="B109" s="278"/>
      <c r="C109" s="278" t="s">
        <v>1</v>
      </c>
      <c r="D109" s="278"/>
      <c r="E109" s="278"/>
      <c r="AE109" s="278"/>
      <c r="AF109" s="278"/>
      <c r="AG109" s="313" t="s">
        <v>1</v>
      </c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  <c r="AT109" s="278"/>
      <c r="AU109" s="278"/>
      <c r="AV109" s="278"/>
      <c r="AW109" s="278"/>
      <c r="AX109" s="278"/>
      <c r="AY109" s="297"/>
      <c r="AZ109" s="278"/>
      <c r="BA109" s="278"/>
      <c r="BB109" s="278"/>
      <c r="BC109" s="278"/>
      <c r="BD109" s="278"/>
      <c r="BE109" s="278"/>
      <c r="BF109" s="278"/>
      <c r="BL109" s="278"/>
    </row>
    <row r="110" spans="1:64" hidden="1" x14ac:dyDescent="0.2">
      <c r="A110" s="278"/>
      <c r="B110" s="278"/>
      <c r="C110" s="289" t="s">
        <v>185</v>
      </c>
      <c r="D110" s="289"/>
      <c r="E110" s="278"/>
      <c r="AE110" s="278"/>
      <c r="AF110" s="278"/>
      <c r="AG110" s="313"/>
      <c r="AH110" s="278"/>
      <c r="AI110" s="278"/>
      <c r="AJ110" s="278"/>
      <c r="AK110" s="278"/>
      <c r="AL110" s="278"/>
      <c r="AM110" s="278"/>
      <c r="AN110" s="278"/>
      <c r="AO110" s="278"/>
      <c r="AP110" s="278"/>
      <c r="AQ110" s="278"/>
      <c r="AR110" s="278"/>
      <c r="AS110" s="278"/>
      <c r="AT110" s="278"/>
      <c r="AU110" s="278"/>
      <c r="AV110" s="278"/>
      <c r="AW110" s="278"/>
      <c r="AX110" s="278"/>
      <c r="AY110" s="297"/>
      <c r="AZ110" s="278"/>
      <c r="BA110" s="278"/>
      <c r="BB110" s="278"/>
      <c r="BC110" s="278"/>
      <c r="BD110" s="278"/>
      <c r="BE110" s="278"/>
      <c r="BF110" s="278"/>
      <c r="BL110" s="278"/>
    </row>
    <row r="111" spans="1:64" hidden="1" x14ac:dyDescent="0.2">
      <c r="A111" s="278"/>
      <c r="B111" s="278"/>
      <c r="C111" s="289" t="s">
        <v>184</v>
      </c>
      <c r="D111" s="289"/>
      <c r="E111" s="278"/>
      <c r="AE111" s="278"/>
      <c r="AF111" s="278"/>
      <c r="AG111" s="313"/>
      <c r="AH111" s="278"/>
      <c r="AI111" s="278"/>
      <c r="AJ111" s="278"/>
      <c r="AK111" s="278"/>
      <c r="AL111" s="278"/>
      <c r="AM111" s="278"/>
      <c r="AN111" s="278"/>
      <c r="AO111" s="278"/>
      <c r="AP111" s="278"/>
      <c r="AQ111" s="278"/>
      <c r="AR111" s="278"/>
      <c r="AS111" s="278"/>
      <c r="AT111" s="278"/>
      <c r="AU111" s="278"/>
      <c r="AV111" s="278"/>
      <c r="AW111" s="278"/>
      <c r="AX111" s="278"/>
      <c r="AY111" s="297"/>
      <c r="AZ111" s="278"/>
      <c r="BA111" s="278"/>
      <c r="BB111" s="278"/>
      <c r="BC111" s="278"/>
      <c r="BD111" s="278"/>
      <c r="BE111" s="278"/>
      <c r="BF111" s="278"/>
      <c r="BL111" s="278"/>
    </row>
    <row r="112" spans="1:64" hidden="1" x14ac:dyDescent="0.2">
      <c r="C112" s="289" t="s">
        <v>183</v>
      </c>
      <c r="D112" s="289"/>
      <c r="E112" s="289"/>
      <c r="G112" s="314" t="s">
        <v>1</v>
      </c>
      <c r="N112" s="290"/>
      <c r="AG112" s="315" t="s">
        <v>1</v>
      </c>
      <c r="AY112" s="297"/>
      <c r="BB112" s="278"/>
      <c r="BC112" s="316" t="s">
        <v>1</v>
      </c>
      <c r="BD112" s="278"/>
      <c r="BE112" s="278"/>
      <c r="BF112" s="278"/>
      <c r="BL112" s="278"/>
    </row>
    <row r="113" spans="3:64" hidden="1" x14ac:dyDescent="0.2">
      <c r="C113" s="289" t="s">
        <v>26</v>
      </c>
      <c r="D113" s="289"/>
      <c r="E113" s="288"/>
      <c r="G113" s="354">
        <f>IF(C19=C114,G114,IF(C19=C115,G115,IF(C19=C116,G116,IF(C19=C117,G117,IF(C19=C118,G118,IF(C19=C119,G119,IF(C19=C120,G120,IF(C19=C121,G121,))))))))</f>
        <v>1</v>
      </c>
      <c r="N113" s="290"/>
      <c r="AY113" s="297"/>
      <c r="BB113" s="278"/>
      <c r="BC113" s="278"/>
      <c r="BD113" s="278"/>
      <c r="BE113" s="278"/>
      <c r="BF113" s="278"/>
      <c r="BL113" s="278"/>
    </row>
    <row r="114" spans="3:64" hidden="1" x14ac:dyDescent="0.2">
      <c r="C114" s="278" t="s">
        <v>209</v>
      </c>
      <c r="D114" s="278"/>
      <c r="G114" s="279">
        <v>1</v>
      </c>
      <c r="N114" s="290"/>
      <c r="AY114" s="297"/>
      <c r="BL114" s="278"/>
    </row>
    <row r="115" spans="3:64" hidden="1" x14ac:dyDescent="0.2">
      <c r="C115" s="278" t="s">
        <v>215</v>
      </c>
      <c r="D115" s="278"/>
      <c r="G115" s="279">
        <v>2</v>
      </c>
      <c r="N115" s="290"/>
      <c r="AY115" s="297"/>
      <c r="BL115" s="278"/>
    </row>
    <row r="116" spans="3:64" hidden="1" x14ac:dyDescent="0.2">
      <c r="C116" s="278" t="s">
        <v>210</v>
      </c>
      <c r="D116" s="278"/>
      <c r="G116" s="279">
        <v>3</v>
      </c>
    </row>
    <row r="117" spans="3:64" hidden="1" x14ac:dyDescent="0.2">
      <c r="C117" s="278" t="s">
        <v>211</v>
      </c>
      <c r="D117" s="278"/>
      <c r="G117" s="279">
        <v>4</v>
      </c>
      <c r="V117" s="317" t="s">
        <v>1</v>
      </c>
      <c r="W117" s="315" t="s">
        <v>1</v>
      </c>
      <c r="X117" s="315"/>
    </row>
    <row r="118" spans="3:64" hidden="1" x14ac:dyDescent="0.2">
      <c r="C118" s="278" t="s">
        <v>212</v>
      </c>
      <c r="D118" s="278"/>
      <c r="G118" s="279">
        <v>5</v>
      </c>
    </row>
    <row r="119" spans="3:64" hidden="1" x14ac:dyDescent="0.2">
      <c r="C119" s="278" t="s">
        <v>213</v>
      </c>
      <c r="D119" s="278"/>
      <c r="G119" s="279">
        <v>6</v>
      </c>
      <c r="W119" s="315" t="s">
        <v>1</v>
      </c>
      <c r="X119" s="315"/>
    </row>
    <row r="120" spans="3:64" hidden="1" x14ac:dyDescent="0.2">
      <c r="C120" s="278" t="s">
        <v>214</v>
      </c>
      <c r="D120" s="278"/>
      <c r="G120" s="279">
        <v>7</v>
      </c>
    </row>
    <row r="121" spans="3:64" hidden="1" x14ac:dyDescent="0.2">
      <c r="C121" s="278" t="s">
        <v>285</v>
      </c>
      <c r="D121" s="278"/>
      <c r="G121" s="279">
        <v>8</v>
      </c>
    </row>
    <row r="122" spans="3:64" hidden="1" x14ac:dyDescent="0.2">
      <c r="C122" s="289" t="s">
        <v>185</v>
      </c>
      <c r="D122" s="289"/>
      <c r="G122" s="354">
        <f>IF(C$126=AX$22,G$126,IF(C$127=AX$22,G$127,IF(C$128=AX$22,G$128,IF(C$129=AX$22,G$129,IF(C$130=AX$22,G$130,IF(C$131=AX$22,G$131,IF(C$132=AX$22,G$132,)))))))</f>
        <v>3</v>
      </c>
      <c r="M122" s="354">
        <f>IF(C$133=AU$22,G$133,)</f>
        <v>0</v>
      </c>
      <c r="U122" s="354">
        <f>M122+G122</f>
        <v>3</v>
      </c>
    </row>
    <row r="123" spans="3:64" hidden="1" x14ac:dyDescent="0.2">
      <c r="C123" s="289" t="s">
        <v>184</v>
      </c>
      <c r="D123" s="289"/>
      <c r="G123" s="354">
        <f>IF(C$126=AU$22,G$126,IF(C$127=AU$22,G$127,IF(C$128=AU$22,G$128,IF(C$129=AU$22,G$129,IF(C$130=AU$22,G$130,IF(C$131=AU$22,G$131,IF(C$132=AU$22,G$132,)))))))</f>
        <v>3</v>
      </c>
      <c r="M123" s="354">
        <f>IF(C$133=AU$22,G$133,)</f>
        <v>0</v>
      </c>
      <c r="U123" s="354">
        <f>M123+G123</f>
        <v>3</v>
      </c>
      <c r="V123" s="317" t="s">
        <v>1</v>
      </c>
    </row>
    <row r="124" spans="3:64" hidden="1" x14ac:dyDescent="0.2">
      <c r="C124" s="289" t="s">
        <v>183</v>
      </c>
      <c r="D124" s="289"/>
      <c r="G124" s="354">
        <f>IF(C$126=AR$22,G$126,IF(C$127=AR$22,G$127,IF(C$128=AR$22,G$128,IF(C$129=AR$22,G$129,IF(C$130=AR$22,G$130,IF(C$131=AR$22,G$131,IF(C$132=AR$22,G$132,)))))))</f>
        <v>3</v>
      </c>
    </row>
    <row r="125" spans="3:64" hidden="1" x14ac:dyDescent="0.2">
      <c r="C125" s="289" t="s">
        <v>26</v>
      </c>
      <c r="D125" s="289"/>
      <c r="G125" s="354">
        <f>IF(C$126=C$22,G$126,IF(C$127=C$22,G$127,IF(C$128=C$22,G$128,IF(C$129=C$22,G$129,IF(C$130=C$22,G$130,IF(C$131=C$22,G$131,IF(C$132=C$22,G$132,)))))))</f>
        <v>3</v>
      </c>
    </row>
    <row r="126" spans="3:64" hidden="1" x14ac:dyDescent="0.2">
      <c r="C126" s="318" t="s">
        <v>94</v>
      </c>
      <c r="D126" s="318"/>
      <c r="G126" s="279">
        <v>1</v>
      </c>
    </row>
    <row r="127" spans="3:64" hidden="1" x14ac:dyDescent="0.2">
      <c r="C127" s="318" t="s">
        <v>103</v>
      </c>
      <c r="D127" s="318"/>
      <c r="G127" s="279">
        <v>2</v>
      </c>
    </row>
    <row r="128" spans="3:64" hidden="1" x14ac:dyDescent="0.2">
      <c r="C128" s="318" t="s">
        <v>186</v>
      </c>
      <c r="D128" s="318"/>
      <c r="G128" s="279">
        <v>3</v>
      </c>
    </row>
    <row r="129" spans="3:27" hidden="1" x14ac:dyDescent="0.2">
      <c r="C129" s="318" t="s">
        <v>187</v>
      </c>
      <c r="D129" s="318"/>
      <c r="G129" s="279">
        <v>4</v>
      </c>
    </row>
    <row r="130" spans="3:27" hidden="1" x14ac:dyDescent="0.2">
      <c r="C130" s="318" t="s">
        <v>188</v>
      </c>
      <c r="D130" s="318"/>
      <c r="G130" s="279">
        <v>5</v>
      </c>
    </row>
    <row r="131" spans="3:27" hidden="1" x14ac:dyDescent="0.2">
      <c r="C131" s="318" t="s">
        <v>189</v>
      </c>
      <c r="D131" s="318"/>
      <c r="G131" s="279">
        <v>6</v>
      </c>
    </row>
    <row r="132" spans="3:27" hidden="1" x14ac:dyDescent="0.2">
      <c r="C132" s="318" t="s">
        <v>190</v>
      </c>
      <c r="D132" s="318"/>
      <c r="G132" s="279">
        <v>7</v>
      </c>
    </row>
    <row r="133" spans="3:27" hidden="1" x14ac:dyDescent="0.2">
      <c r="C133" s="319" t="s">
        <v>23</v>
      </c>
      <c r="D133" s="319"/>
      <c r="G133" s="279">
        <v>0</v>
      </c>
    </row>
    <row r="134" spans="3:27" hidden="1" x14ac:dyDescent="0.2"/>
    <row r="135" spans="3:27" hidden="1" x14ac:dyDescent="0.2">
      <c r="C135" s="289" t="s">
        <v>185</v>
      </c>
      <c r="D135" s="289"/>
    </row>
    <row r="136" spans="3:27" hidden="1" x14ac:dyDescent="0.2">
      <c r="C136" s="289" t="s">
        <v>184</v>
      </c>
      <c r="D136" s="289"/>
    </row>
    <row r="137" spans="3:27" hidden="1" x14ac:dyDescent="0.2">
      <c r="C137" s="289" t="s">
        <v>183</v>
      </c>
      <c r="D137" s="289"/>
    </row>
    <row r="138" spans="3:27" hidden="1" x14ac:dyDescent="0.2">
      <c r="C138" s="289" t="s">
        <v>26</v>
      </c>
      <c r="D138" s="289"/>
      <c r="G138" s="314" t="s">
        <v>1</v>
      </c>
      <c r="M138" s="354">
        <f>M140+M147+M154</f>
        <v>3</v>
      </c>
      <c r="W138" s="354">
        <f>W140+W147+W154</f>
        <v>4</v>
      </c>
      <c r="Y138" s="354">
        <f>Y140+Y147+Y154</f>
        <v>0</v>
      </c>
      <c r="AA138" s="354">
        <f>AA140+AA147+AA154</f>
        <v>0</v>
      </c>
    </row>
    <row r="139" spans="3:27" hidden="1" x14ac:dyDescent="0.2">
      <c r="C139" s="289" t="s">
        <v>1</v>
      </c>
      <c r="D139" s="289"/>
      <c r="G139" s="314" t="s">
        <v>1</v>
      </c>
      <c r="M139" s="314" t="s">
        <v>1</v>
      </c>
    </row>
    <row r="140" spans="3:27" hidden="1" x14ac:dyDescent="0.2">
      <c r="C140" s="318" t="s">
        <v>191</v>
      </c>
      <c r="D140" s="318"/>
      <c r="G140" s="279">
        <v>0</v>
      </c>
      <c r="M140" s="354">
        <f>IF(C140=C$27,G140,IF(C141=C$27,G141,IF(C142=C$27,G142,IF(C143=C$27,G143,IF(C144=C$27,G144,IF(C145=C$27,G145,IF(C146=C$27,G146,)))))))</f>
        <v>3</v>
      </c>
      <c r="W140" s="354">
        <f>IF($C140=AR$20,$G140,IF($C141=AR$20,$G141,IF($C142=AR$20,$G142,IF($C143=AR$20,$G143,IF($C144=AR$20,$G144,IF($C145=AR$20,$G145,IF($C146=AR$20,$G146,)))))))</f>
        <v>4</v>
      </c>
      <c r="Y140" s="354">
        <f>IF($C140=AU$20,$G140,IF($C141=AU$20,$G141,IF($C142=AU$20,$G142,IF($C143=AU$20,$G143,IF($C144=AU$20,$G144,IF($C145=AU$20,$G145,IF($C146=AU$20,$G146,)))))))</f>
        <v>0</v>
      </c>
      <c r="AA140" s="354">
        <f>IF($C140=AX$20,$G140,IF($C141=AX$20,$G141,IF($C142=AX$20,$G142,IF($C143=AX$20,$G143,IF($C144=AX$20,$G144,IF($C145=AX$20,$G145,IF($C146=AX$20,$G146,)))))))</f>
        <v>0</v>
      </c>
    </row>
    <row r="141" spans="3:27" hidden="1" x14ac:dyDescent="0.2">
      <c r="C141" s="318" t="s">
        <v>192</v>
      </c>
      <c r="D141" s="318"/>
      <c r="G141" s="279">
        <v>1</v>
      </c>
    </row>
    <row r="142" spans="3:27" hidden="1" x14ac:dyDescent="0.2">
      <c r="C142" s="318" t="s">
        <v>193</v>
      </c>
      <c r="D142" s="318"/>
      <c r="G142" s="354">
        <f>G141+1</f>
        <v>2</v>
      </c>
      <c r="S142" s="320" t="s">
        <v>1</v>
      </c>
      <c r="T142" s="320"/>
      <c r="U142" s="320"/>
    </row>
    <row r="143" spans="3:27" hidden="1" x14ac:dyDescent="0.2">
      <c r="C143" s="318" t="s">
        <v>194</v>
      </c>
      <c r="D143" s="318"/>
      <c r="G143" s="354">
        <f t="shared" ref="G143:G157" si="6">G142+1</f>
        <v>3</v>
      </c>
    </row>
    <row r="144" spans="3:27" hidden="1" x14ac:dyDescent="0.2">
      <c r="C144" s="318" t="s">
        <v>195</v>
      </c>
      <c r="D144" s="318"/>
      <c r="G144" s="354">
        <f t="shared" si="6"/>
        <v>4</v>
      </c>
    </row>
    <row r="145" spans="3:97" hidden="1" x14ac:dyDescent="0.2">
      <c r="C145" s="318" t="s">
        <v>196</v>
      </c>
      <c r="D145" s="318"/>
      <c r="G145" s="354">
        <f t="shared" si="6"/>
        <v>5</v>
      </c>
    </row>
    <row r="146" spans="3:97" hidden="1" x14ac:dyDescent="0.2">
      <c r="C146" s="318" t="s">
        <v>197</v>
      </c>
      <c r="D146" s="318"/>
      <c r="G146" s="354">
        <f t="shared" si="6"/>
        <v>6</v>
      </c>
    </row>
    <row r="147" spans="3:97" hidden="1" x14ac:dyDescent="0.2">
      <c r="C147" s="318" t="s">
        <v>198</v>
      </c>
      <c r="D147" s="318"/>
      <c r="G147" s="354">
        <f t="shared" si="6"/>
        <v>7</v>
      </c>
      <c r="M147" s="354">
        <f>IF($C147=$C$27,$G147,IF($C148=$C$27,$G148,IF($C149=$C$27,$G149,IF($C150=$C$27,$G150,IF($C151=$C$27,$G151,IF($C152=$C$27,$G152,IF($C153=$C$27,$G153,)))))))</f>
        <v>0</v>
      </c>
      <c r="W147" s="354">
        <f>IF($C147=AR$20,$G147,IF($C148=AR$20,$G148,IF($C149=AR$20,$G149,IF($C150=AR$20,$G150,IF($C151=AR$20,$G151,IF($C152=AR$20,$G152,IF($C153=AR$20,$G153,)))))))</f>
        <v>0</v>
      </c>
      <c r="Y147" s="354">
        <f>IF($C147=AU$20,$G147,IF($C148=AU$20,$G148,IF($C149=AU$20,$G149,IF($C150=AU$20,$G150,IF($C151=AU$20,$G151,IF($C152=AU$20,$G152,IF($C153=AU$20,$G153,)))))))</f>
        <v>0</v>
      </c>
      <c r="AA147" s="354">
        <f>IF($C147=AX$20,$G147,IF($C148=AX$20,$G148,IF($C149=AX$20,$G149,IF($C150=AX$20,$G150,IF($C151=AX$20,$G151,IF($C152=AX$20,$G152,IF($C153=AX$20,$G153,)))))))</f>
        <v>0</v>
      </c>
    </row>
    <row r="148" spans="3:97" hidden="1" x14ac:dyDescent="0.2">
      <c r="C148" s="318" t="s">
        <v>199</v>
      </c>
      <c r="D148" s="318"/>
      <c r="G148" s="354">
        <f t="shared" si="6"/>
        <v>8</v>
      </c>
    </row>
    <row r="149" spans="3:97" hidden="1" x14ac:dyDescent="0.2">
      <c r="C149" s="318" t="s">
        <v>200</v>
      </c>
      <c r="D149" s="318"/>
      <c r="G149" s="354">
        <f t="shared" si="6"/>
        <v>9</v>
      </c>
    </row>
    <row r="150" spans="3:97" hidden="1" x14ac:dyDescent="0.2">
      <c r="C150" s="318" t="s">
        <v>201</v>
      </c>
      <c r="D150" s="318"/>
      <c r="G150" s="354">
        <f t="shared" si="6"/>
        <v>10</v>
      </c>
    </row>
    <row r="151" spans="3:97" hidden="1" x14ac:dyDescent="0.2">
      <c r="C151" s="318" t="s">
        <v>202</v>
      </c>
      <c r="D151" s="318"/>
      <c r="G151" s="354">
        <f t="shared" si="6"/>
        <v>11</v>
      </c>
    </row>
    <row r="152" spans="3:97" hidden="1" x14ac:dyDescent="0.2">
      <c r="C152" s="318" t="s">
        <v>203</v>
      </c>
      <c r="D152" s="318"/>
      <c r="G152" s="354">
        <f t="shared" si="6"/>
        <v>12</v>
      </c>
    </row>
    <row r="153" spans="3:97" hidden="1" x14ac:dyDescent="0.2">
      <c r="C153" s="318" t="s">
        <v>204</v>
      </c>
      <c r="D153" s="318"/>
      <c r="G153" s="354">
        <f t="shared" si="6"/>
        <v>13</v>
      </c>
    </row>
    <row r="154" spans="3:97" hidden="1" x14ac:dyDescent="0.2">
      <c r="C154" s="318" t="s">
        <v>205</v>
      </c>
      <c r="D154" s="318"/>
      <c r="G154" s="354">
        <f t="shared" si="6"/>
        <v>14</v>
      </c>
      <c r="M154" s="354">
        <f>IF(C154=C$27,G154,IF(C155=C$27,G155,IF(C156=C$27,G156,IF(C157=C$27,G157,IF(C158=C$27,G158,IF(C159=C$27,G159,IF(C160=C$27,G160,)))))))</f>
        <v>0</v>
      </c>
      <c r="W154" s="354">
        <f>IF($C154=AR$20,$G154,IF($C155=AR$20,$G155,IF($C156=AR$20,$G156,IF($C157=AR$20,$G157,IF($C158=AR$20,$G158,IF($C159=AR$20,$G159,IF($C160=AR$20,$G160,)))))))</f>
        <v>0</v>
      </c>
      <c r="Y154" s="354">
        <f>IF($C154=AU$20,$G154,IF($C155=AU$20,$G155,IF($C156=AU$20,$G156,IF($C157=AU$20,$G157,IF($C158=AU$20,$G158,IF($C159=AU$20,$G159,IF($C160=AU$20,$G160,)))))))</f>
        <v>0</v>
      </c>
      <c r="AA154" s="354">
        <f>IF($C154=AX$20,$G154,IF($C155=AX$20,$G155,IF($C156=AX$20,$G156,IF($C157=AX$20,$G157,IF($C158=AX$20,$G158,IF($C159=AX$20,$G159,IF($C160=AX$20,$G160,)))))))</f>
        <v>0</v>
      </c>
    </row>
    <row r="155" spans="3:97" hidden="1" x14ac:dyDescent="0.2">
      <c r="C155" s="318" t="s">
        <v>206</v>
      </c>
      <c r="D155" s="318"/>
      <c r="G155" s="354">
        <f t="shared" si="6"/>
        <v>15</v>
      </c>
    </row>
    <row r="156" spans="3:97" hidden="1" x14ac:dyDescent="0.2">
      <c r="C156" s="318" t="s">
        <v>207</v>
      </c>
      <c r="D156" s="318"/>
      <c r="G156" s="354">
        <f t="shared" si="6"/>
        <v>16</v>
      </c>
    </row>
    <row r="157" spans="3:97" hidden="1" x14ac:dyDescent="0.2">
      <c r="C157" s="318" t="s">
        <v>208</v>
      </c>
      <c r="D157" s="318"/>
      <c r="G157" s="354">
        <f t="shared" si="6"/>
        <v>17</v>
      </c>
    </row>
    <row r="158" spans="3:97" hidden="1" x14ac:dyDescent="0.2">
      <c r="G158" s="314" t="s">
        <v>1</v>
      </c>
    </row>
    <row r="159" spans="3:97" hidden="1" x14ac:dyDescent="0.2">
      <c r="C159" s="318" t="s">
        <v>216</v>
      </c>
      <c r="D159" s="318"/>
      <c r="G159" s="314" t="s">
        <v>1</v>
      </c>
    </row>
    <row r="160" spans="3:97" hidden="1" x14ac:dyDescent="0.2">
      <c r="C160" s="318" t="s">
        <v>217</v>
      </c>
      <c r="D160" s="318"/>
      <c r="G160" s="314" t="s">
        <v>1</v>
      </c>
      <c r="CS160" s="279">
        <f>G18</f>
        <v>1</v>
      </c>
    </row>
    <row r="161" spans="3:103" hidden="1" x14ac:dyDescent="0.2">
      <c r="G161" s="314" t="s">
        <v>1</v>
      </c>
      <c r="CS161" s="338" t="str">
        <f>IF($CS$162=CN162,CV162,IF($CS$162=CN163,CV163,IF($CS$162=CN164,CV164,IF($CS$162=CN165,CV165,IF($CS$162=CN166,CV166,IF($CS$162=CN167,CV167,IF($CS$162=CN168,CV168,)))))))</f>
        <v>1 outlet pipe : Ld1</v>
      </c>
    </row>
    <row r="162" spans="3:103" hidden="1" x14ac:dyDescent="0.2">
      <c r="C162" s="338" t="s">
        <v>262</v>
      </c>
      <c r="G162" s="314" t="s">
        <v>1</v>
      </c>
      <c r="M162" s="559">
        <f>AR11</f>
        <v>10</v>
      </c>
      <c r="O162" s="338" t="s">
        <v>236</v>
      </c>
      <c r="X162" s="338" t="s">
        <v>1</v>
      </c>
      <c r="CN162" s="338" t="s">
        <v>262</v>
      </c>
      <c r="CQ162" s="279" t="str">
        <f>IF(C16=C162,CN162,)</f>
        <v>1 outlet pipe : Ld1</v>
      </c>
      <c r="CS162" s="279" t="str">
        <f>IF(CN162=CQ162,CQ162,IF(CN163=CQ163,CQ163,IF(CN164=CQ164,CQ164,IF(CN165=CQ165,CQ165,IF(CN166=CQ166,CQ166,IF(CN167=CQ167,CQ167,IF(CN168=CQ168,CQ168,)))))))</f>
        <v>1 outlet pipe : Ld1</v>
      </c>
      <c r="CV162" s="338" t="str">
        <f t="shared" ref="CV162:CV168" si="7">IF($G$18&lt;4,CN162,IF($G$18=4,CY162,IF($G$18=5,CN162,IF($G$18=6,CY162,IF($G$18=7,CY162,IF($G$18=8,CN162,))))))</f>
        <v>1 outlet pipe : Ld1</v>
      </c>
      <c r="CY162" s="338" t="s">
        <v>262</v>
      </c>
    </row>
    <row r="163" spans="3:103" hidden="1" x14ac:dyDescent="0.2">
      <c r="C163" s="338" t="s">
        <v>302</v>
      </c>
      <c r="G163" s="314" t="s">
        <v>1</v>
      </c>
      <c r="M163" s="559">
        <f>AU11</f>
        <v>0</v>
      </c>
      <c r="O163" s="338" t="s">
        <v>237</v>
      </c>
      <c r="X163" s="338" t="s">
        <v>1</v>
      </c>
      <c r="Y163" s="338">
        <f>IF($C$16=$C$168,M163,IF($C$16=$C$167,M163,IF($C$16=$C$166,M163,IF($C$16=$C$165,M163,IF($C$16=$C$164,M163,IF($C$16=$C$163,M163,IF($C$16=$C$162,0,)))))))</f>
        <v>0</v>
      </c>
      <c r="AI163" s="561" t="s">
        <v>1</v>
      </c>
      <c r="AJ163" s="561"/>
      <c r="AL163" s="560">
        <f>AU6</f>
        <v>0</v>
      </c>
      <c r="AM163" s="278" t="s">
        <v>287</v>
      </c>
      <c r="AN163" s="278"/>
      <c r="AO163" s="278"/>
      <c r="AP163" s="278"/>
      <c r="AQ163" s="278"/>
      <c r="AR163" s="562">
        <f>IF($C$16=$C$168,AL168,IF($C$16=$C$167,AL167,IF($C$16=$C$166,AL163,IF($C$16=$C$165,AL163,IF($C$16=$C$164,AL163,IF($C$16=$C$163,AL163,IF($C$16=$C$162,0,)))))))</f>
        <v>0</v>
      </c>
      <c r="AS163" s="278"/>
      <c r="AT163" s="278"/>
      <c r="AU163" s="559">
        <f>AU29</f>
        <v>0</v>
      </c>
      <c r="AV163" s="278" t="s">
        <v>289</v>
      </c>
      <c r="AW163" s="278"/>
      <c r="AX163" s="563">
        <f>IF($C$16=$C$168,AU163,IF($C$16=$C$167,AU163,IF($C$16=$C$166,AU163,IF($C$16=$C$165,AU163,IF($C$16=$C$164,AU163,IF($C$16=$C$163,AU163,IF($C$16=$C$162,0,)))))))</f>
        <v>0</v>
      </c>
      <c r="CN163" s="338" t="s">
        <v>261</v>
      </c>
      <c r="CQ163" s="279">
        <f>IF(C16=C163,CN163,)</f>
        <v>0</v>
      </c>
      <c r="CV163" s="338" t="str">
        <f t="shared" si="7"/>
        <v>2 outlet pipe : Ld1+Ld2</v>
      </c>
      <c r="CY163" s="338" t="s">
        <v>261</v>
      </c>
    </row>
    <row r="164" spans="3:103" hidden="1" x14ac:dyDescent="0.2">
      <c r="C164" s="338" t="s">
        <v>303</v>
      </c>
      <c r="G164" s="314" t="s">
        <v>1</v>
      </c>
      <c r="M164" s="559">
        <f>AX11</f>
        <v>0</v>
      </c>
      <c r="O164" s="338" t="s">
        <v>238</v>
      </c>
      <c r="X164" s="338" t="s">
        <v>1</v>
      </c>
      <c r="Y164" s="338" t="s">
        <v>1</v>
      </c>
      <c r="Z164" s="658">
        <f>IF($C$16=$C$168,0,IF($C$16=$C$167,M164,IF($C$16=$C$166,M164,IF($C$16=$C$165,M164,IF($C$16=$C$164,M164,IF($C$16=$C$163,0,IF($C$16=$C$162,0,)))))))</f>
        <v>0</v>
      </c>
      <c r="AA164" s="658"/>
      <c r="AI164" s="561" t="s">
        <v>1</v>
      </c>
      <c r="AJ164" s="561"/>
      <c r="AL164" s="560">
        <f>AX6</f>
        <v>0</v>
      </c>
      <c r="AM164" s="278" t="s">
        <v>288</v>
      </c>
      <c r="AN164" s="278"/>
      <c r="AO164" s="278"/>
      <c r="AP164" s="278"/>
      <c r="AQ164" s="278"/>
      <c r="AR164" s="562">
        <f>IF($C$16=$C$167,AL164,IF($C$16=$C$166,AL164,IF($C$16=$C$165,AL164,IF($C$16=$C$164,AL164,IF($C$16=$C$163,0,IF($C$16=$C$162,0,))))))</f>
        <v>0</v>
      </c>
      <c r="AS164" s="278"/>
      <c r="AT164" s="278"/>
      <c r="AU164" s="559">
        <f>AX29</f>
        <v>0</v>
      </c>
      <c r="AV164" s="278" t="s">
        <v>290</v>
      </c>
      <c r="AW164" s="278"/>
      <c r="AX164" s="563">
        <f>IF($C$16=$C$167,AU164,IF($C$16=$C$166,AU164,IF($C$16=$C$165,AU164,IF($C$16=$C$164,AU164,IF($C$16=$C$163,0,IF($C$16=$C$162,0,))))))</f>
        <v>0</v>
      </c>
      <c r="CN164" s="338" t="s">
        <v>260</v>
      </c>
      <c r="CQ164" s="279">
        <f>IF(C16=C164,CN164,)</f>
        <v>0</v>
      </c>
      <c r="CV164" s="338" t="str">
        <f t="shared" si="7"/>
        <v>3 outlet pipe : Ld1+Ld2+Ld3</v>
      </c>
      <c r="CY164" s="338" t="s">
        <v>260</v>
      </c>
    </row>
    <row r="165" spans="3:103" hidden="1" x14ac:dyDescent="0.2">
      <c r="C165" s="338" t="s">
        <v>304</v>
      </c>
      <c r="G165" s="314" t="s">
        <v>1</v>
      </c>
      <c r="X165" s="338" t="s">
        <v>1</v>
      </c>
      <c r="CN165" s="338" t="s">
        <v>305</v>
      </c>
      <c r="CQ165" s="279">
        <f>IF(C16=C165,CN165,)</f>
        <v>0</v>
      </c>
      <c r="CV165" s="338" t="str">
        <f t="shared" si="7"/>
        <v>Loop system at outlet pipe</v>
      </c>
      <c r="CY165" s="338" t="s">
        <v>260</v>
      </c>
    </row>
    <row r="166" spans="3:103" hidden="1" x14ac:dyDescent="0.2">
      <c r="C166" s="338" t="s">
        <v>313</v>
      </c>
      <c r="CN166" s="338" t="s">
        <v>307</v>
      </c>
      <c r="CQ166" s="279">
        <f>IF(C16=C166,CN166,)</f>
        <v>0</v>
      </c>
      <c r="CV166" s="338" t="str">
        <f t="shared" si="7"/>
        <v>T1-loop pipe:Ld1+Ld2+Ld3</v>
      </c>
      <c r="CY166" s="338" t="s">
        <v>260</v>
      </c>
    </row>
    <row r="167" spans="3:103" hidden="1" x14ac:dyDescent="0.2">
      <c r="C167" s="338" t="s">
        <v>314</v>
      </c>
      <c r="AL167" s="560">
        <f>AX6</f>
        <v>0</v>
      </c>
      <c r="CN167" s="338" t="s">
        <v>306</v>
      </c>
      <c r="CQ167" s="279">
        <f>IF(C16=C167,CN167,)</f>
        <v>0</v>
      </c>
      <c r="CV167" s="338" t="str">
        <f t="shared" si="7"/>
        <v>T2-loop pipe:Ld1+Ld2+Ld31</v>
      </c>
      <c r="CY167" s="338" t="s">
        <v>260</v>
      </c>
    </row>
    <row r="168" spans="3:103" hidden="1" x14ac:dyDescent="0.2">
      <c r="C168" s="338" t="s">
        <v>315</v>
      </c>
      <c r="M168" s="338" t="s">
        <v>299</v>
      </c>
      <c r="X168" s="338" t="s">
        <v>300</v>
      </c>
      <c r="Y168" s="338" t="s">
        <v>301</v>
      </c>
      <c r="AL168" s="560">
        <f>AU6</f>
        <v>0</v>
      </c>
      <c r="CN168" s="338" t="s">
        <v>308</v>
      </c>
      <c r="CQ168" s="279">
        <f>IF(C16=C168,CN168,)</f>
        <v>0</v>
      </c>
      <c r="CV168" s="338" t="str">
        <f t="shared" si="7"/>
        <v>T3-loop pipe:Ld1+Ld21</v>
      </c>
      <c r="CY168" s="338" t="s">
        <v>261</v>
      </c>
    </row>
    <row r="169" spans="3:103" hidden="1" x14ac:dyDescent="0.2">
      <c r="M169" s="279">
        <f>Tot.Head!F23</f>
        <v>10</v>
      </c>
      <c r="X169" s="279">
        <f>Tot.Head!H23</f>
        <v>0</v>
      </c>
      <c r="Y169" s="279">
        <f>Tot.Head!J23</f>
        <v>0</v>
      </c>
    </row>
    <row r="170" spans="3:103" hidden="1" x14ac:dyDescent="0.2"/>
    <row r="172" spans="3:103" x14ac:dyDescent="0.2">
      <c r="CN172" s="338" t="s">
        <v>1</v>
      </c>
    </row>
    <row r="173" spans="3:103" x14ac:dyDescent="0.2">
      <c r="CN173" s="338" t="s">
        <v>1</v>
      </c>
    </row>
    <row r="174" spans="3:103" x14ac:dyDescent="0.2">
      <c r="CN174" s="338" t="s">
        <v>1</v>
      </c>
    </row>
    <row r="175" spans="3:103" x14ac:dyDescent="0.2">
      <c r="CN175" s="338" t="s">
        <v>1</v>
      </c>
    </row>
    <row r="176" spans="3:103" x14ac:dyDescent="0.2">
      <c r="CN176" s="338" t="s">
        <v>1</v>
      </c>
    </row>
    <row r="177" spans="92:95" x14ac:dyDescent="0.2">
      <c r="CN177" s="338" t="s">
        <v>1</v>
      </c>
      <c r="CQ177" s="338" t="s">
        <v>1</v>
      </c>
    </row>
    <row r="178" spans="92:95" x14ac:dyDescent="0.2">
      <c r="CN178" s="338" t="s">
        <v>1</v>
      </c>
    </row>
  </sheetData>
  <sheetProtection password="C4F0" sheet="1" objects="1" scenarios="1"/>
  <protectedRanges>
    <protectedRange sqref="AX11" name="Range47"/>
    <protectedRange sqref="AU11" name="Range46"/>
    <protectedRange sqref="AR11" name="Range45"/>
    <protectedRange sqref="AA44:AF45" name="Range43"/>
    <protectedRange sqref="T44:X45" name="Range42"/>
    <protectedRange sqref="Z17" name="Range40"/>
    <protectedRange sqref="G1:W2" name="Range37"/>
    <protectedRange sqref="AX37:AX44" name="Range35"/>
    <protectedRange sqref="AU37:AU44" name="Range34"/>
    <protectedRange sqref="AR37:AR44" name="Range33"/>
    <protectedRange sqref="W51:X52" name="Range32"/>
    <protectedRange sqref="W50" name="Range31"/>
    <protectedRange sqref="Y4" name="Range2"/>
    <protectedRange sqref="C19:D19" name="Range4"/>
    <protectedRange sqref="C22:D22" name="Range5"/>
    <protectedRange sqref="G23" name="Range6"/>
    <protectedRange sqref="C27:D27" name="Range7"/>
    <protectedRange sqref="G29:G30" name="Range8"/>
    <protectedRange sqref="G34" name="Range9"/>
    <protectedRange sqref="G36:G40 G44" name="Range10"/>
    <protectedRange sqref="G42:G43" name="Range11"/>
    <protectedRange sqref="AR17" name="Range13"/>
    <protectedRange sqref="AR19" name="Range14"/>
    <protectedRange sqref="AR20:AS22" name="Range15"/>
    <protectedRange sqref="AR30:AR31" name="Range16"/>
    <protectedRange sqref="AR35" name="Range17"/>
    <protectedRange sqref="AU14" name="Range19"/>
    <protectedRange sqref="AU20:AV22" name="Range21"/>
    <protectedRange sqref="AU30:AU31" name="Range22"/>
    <protectedRange sqref="AX6 AX14 AU6" name="Range24"/>
    <protectedRange sqref="AX20:AY22" name="Range26"/>
    <protectedRange sqref="AX30:AX31" name="Range27"/>
    <protectedRange sqref="BE14" name="Range29"/>
    <protectedRange sqref="BE15" name="Range30"/>
    <protectedRange sqref="Y22:Y23" name="Range36"/>
    <protectedRange sqref="Y15" name="Range38"/>
    <protectedRange sqref="Y17" name="Range39"/>
    <protectedRange sqref="G41" name="Range41"/>
    <protectedRange sqref="C16:D16" name="Range44"/>
  </protectedRanges>
  <dataConsolidate/>
  <customSheetViews>
    <customSheetView guid="{271937E2-A983-48B8-B01A-78DF13D405AE}" scale="106" showPageBreaks="1" showGridLines="0" showRowCol="0" printArea="1" hiddenRows="1" hiddenColumns="1" topLeftCell="B1">
      <selection activeCell="W5" sqref="W5"/>
      <pageMargins left="0.23622047244094491" right="0.23622047244094491" top="1.5354330708661419" bottom="0.74803149606299213" header="0.31496062992125984" footer="0.31496062992125984"/>
      <pageSetup paperSize="9" scale="85" orientation="landscape" horizontalDpi="300" verticalDpi="1200" r:id="rId1"/>
      <headerFooter alignWithMargins="0"/>
    </customSheetView>
  </customSheetViews>
  <mergeCells count="158">
    <mergeCell ref="C44:D44"/>
    <mergeCell ref="J24:L24"/>
    <mergeCell ref="S27:S28"/>
    <mergeCell ref="M23:N23"/>
    <mergeCell ref="K19:K22"/>
    <mergeCell ref="U14:X14"/>
    <mergeCell ref="U15:X15"/>
    <mergeCell ref="U20:X20"/>
    <mergeCell ref="M20:P20"/>
    <mergeCell ref="T43:U43"/>
    <mergeCell ref="U23:X23"/>
    <mergeCell ref="U22:X22"/>
    <mergeCell ref="U24:X24"/>
    <mergeCell ref="J23:L23"/>
    <mergeCell ref="K28:K29"/>
    <mergeCell ref="J27:L27"/>
    <mergeCell ref="R23:T23"/>
    <mergeCell ref="S20:S22"/>
    <mergeCell ref="C16:G16"/>
    <mergeCell ref="P24:T24"/>
    <mergeCell ref="L15:M15"/>
    <mergeCell ref="L73:N73"/>
    <mergeCell ref="D71:E71"/>
    <mergeCell ref="D73:F73"/>
    <mergeCell ref="W55:X55"/>
    <mergeCell ref="W47:X47"/>
    <mergeCell ref="M49:AE49"/>
    <mergeCell ref="W51:X51"/>
    <mergeCell ref="W50:AE50"/>
    <mergeCell ref="W54:X54"/>
    <mergeCell ref="D74:F74"/>
    <mergeCell ref="AA44:AF44"/>
    <mergeCell ref="Y44:Z44"/>
    <mergeCell ref="W44:X44"/>
    <mergeCell ref="W45:X45"/>
    <mergeCell ref="AA45:AF45"/>
    <mergeCell ref="Y45:Z45"/>
    <mergeCell ref="C22:D22"/>
    <mergeCell ref="C27:D27"/>
    <mergeCell ref="T39:U39"/>
    <mergeCell ref="W35:AA35"/>
    <mergeCell ref="U27:AA27"/>
    <mergeCell ref="E54:F54"/>
    <mergeCell ref="E55:F55"/>
    <mergeCell ref="AD16:AD28"/>
    <mergeCell ref="T42:X42"/>
    <mergeCell ref="Z40:AA40"/>
    <mergeCell ref="K44:S44"/>
    <mergeCell ref="T44:V44"/>
    <mergeCell ref="R43:S43"/>
    <mergeCell ref="U28:AA28"/>
    <mergeCell ref="U17:X17"/>
    <mergeCell ref="D72:F72"/>
    <mergeCell ref="L72:O72"/>
    <mergeCell ref="BB4:BF4"/>
    <mergeCell ref="C108:AG108"/>
    <mergeCell ref="L29:Q29"/>
    <mergeCell ref="M35:M38"/>
    <mergeCell ref="C107:AG107"/>
    <mergeCell ref="R28:R29"/>
    <mergeCell ref="S41:S42"/>
    <mergeCell ref="AE29:AE30"/>
    <mergeCell ref="AX20:AY20"/>
    <mergeCell ref="BB5:BF5"/>
    <mergeCell ref="BB6:BF6"/>
    <mergeCell ref="BB9:BC9"/>
    <mergeCell ref="BB10:BC10"/>
    <mergeCell ref="BB28:BF28"/>
    <mergeCell ref="BB11:BF11"/>
    <mergeCell ref="BE14:BF14"/>
    <mergeCell ref="BB14:BC14"/>
    <mergeCell ref="J39:K39"/>
    <mergeCell ref="J40:K40"/>
    <mergeCell ref="J41:K41"/>
    <mergeCell ref="BB18:BC18"/>
    <mergeCell ref="BB27:BF27"/>
    <mergeCell ref="BB37:BF37"/>
    <mergeCell ref="AX22:AY22"/>
    <mergeCell ref="G1:W1"/>
    <mergeCell ref="G2:W2"/>
    <mergeCell ref="U16:W16"/>
    <mergeCell ref="AV55:AZ55"/>
    <mergeCell ref="E50:F50"/>
    <mergeCell ref="L17:L22"/>
    <mergeCell ref="M19:P19"/>
    <mergeCell ref="AE16:AE28"/>
    <mergeCell ref="AD30:AD42"/>
    <mergeCell ref="C19:G19"/>
    <mergeCell ref="W31:Y31"/>
    <mergeCell ref="W32:Y32"/>
    <mergeCell ref="J36:K36"/>
    <mergeCell ref="J37:K37"/>
    <mergeCell ref="J38:K38"/>
    <mergeCell ref="C54:D54"/>
    <mergeCell ref="C55:D55"/>
    <mergeCell ref="C47:G47"/>
    <mergeCell ref="C48:G48"/>
    <mergeCell ref="C46:D46"/>
    <mergeCell ref="E46:F46"/>
    <mergeCell ref="AU20:AV20"/>
    <mergeCell ref="AR22:AS22"/>
    <mergeCell ref="AU22:AV22"/>
    <mergeCell ref="BB15:BC15"/>
    <mergeCell ref="Z37:AA37"/>
    <mergeCell ref="BB30:BD30"/>
    <mergeCell ref="AR20:AS20"/>
    <mergeCell ref="BB22:BF22"/>
    <mergeCell ref="Z17:AA17"/>
    <mergeCell ref="Z39:AA39"/>
    <mergeCell ref="Z38:AA38"/>
    <mergeCell ref="AZ15:AZ35"/>
    <mergeCell ref="Z29:AA29"/>
    <mergeCell ref="G3:W3"/>
    <mergeCell ref="W52:X52"/>
    <mergeCell ref="AV6:AW6"/>
    <mergeCell ref="N16:P16"/>
    <mergeCell ref="Z32:AA32"/>
    <mergeCell ref="Q17:Q19"/>
    <mergeCell ref="M17:P17"/>
    <mergeCell ref="M22:P22"/>
    <mergeCell ref="V30:V40"/>
    <mergeCell ref="N30:N40"/>
    <mergeCell ref="R32:R33"/>
    <mergeCell ref="R34:R35"/>
    <mergeCell ref="S30:S38"/>
    <mergeCell ref="S29:V29"/>
    <mergeCell ref="T32:T35"/>
    <mergeCell ref="AV8:AW8"/>
    <mergeCell ref="AM8:AN8"/>
    <mergeCell ref="AF37:AF42"/>
    <mergeCell ref="K45:S45"/>
    <mergeCell ref="T45:V45"/>
    <mergeCell ref="Y42:AA42"/>
    <mergeCell ref="U4:V4"/>
    <mergeCell ref="U5:V5"/>
    <mergeCell ref="U10:V10"/>
    <mergeCell ref="U11:V11"/>
    <mergeCell ref="U12:V12"/>
    <mergeCell ref="Z164:AA164"/>
    <mergeCell ref="AS14:AT14"/>
    <mergeCell ref="AV14:AW14"/>
    <mergeCell ref="AU19:AV19"/>
    <mergeCell ref="AH13:AL13"/>
    <mergeCell ref="AS5:AT5"/>
    <mergeCell ref="AV5:AW5"/>
    <mergeCell ref="AM13:AN13"/>
    <mergeCell ref="AW17:AW35"/>
    <mergeCell ref="AH14:AN14"/>
    <mergeCell ref="AF16:AF18"/>
    <mergeCell ref="AF20:AF29"/>
    <mergeCell ref="AF19:AG19"/>
    <mergeCell ref="AH24:AN24"/>
    <mergeCell ref="AE15:AR15"/>
    <mergeCell ref="AT16:AT36"/>
    <mergeCell ref="AW36:AY36"/>
    <mergeCell ref="AF30:AF35"/>
    <mergeCell ref="AF36:AG36"/>
    <mergeCell ref="AX19:AY19"/>
  </mergeCells>
  <phoneticPr fontId="0" type="noConversion"/>
  <dataValidations count="12">
    <dataValidation type="list" allowBlank="1" showInputMessage="1" showErrorMessage="1" sqref="AR22 C22">
      <formula1>$C$126:$C$132</formula1>
    </dataValidation>
    <dataValidation type="list" allowBlank="1" showInputMessage="1" showErrorMessage="1" sqref="C27">
      <formula1>$C$140:$C$156</formula1>
    </dataValidation>
    <dataValidation type="list" allowBlank="1" showInputMessage="1" showErrorMessage="1" sqref="AU22:AV22 AX22:AY22">
      <formula1>$C$126:$C$133</formula1>
    </dataValidation>
    <dataValidation type="list" allowBlank="1" showInputMessage="1" showErrorMessage="1" sqref="AR20 AX20 AU20">
      <formula1>$C$140:$C$157</formula1>
    </dataValidation>
    <dataValidation type="list" allowBlank="1" showInputMessage="1" showErrorMessage="1" sqref="G29 AX30 AU30 AR30">
      <formula1>$C$159:$C$160</formula1>
    </dataValidation>
    <dataValidation type="list" allowBlank="1" showInputMessage="1" showErrorMessage="1" sqref="C19:G19">
      <formula1>$C$114:$C$121</formula1>
    </dataValidation>
    <dataValidation type="list" allowBlank="1" showInputMessage="1" showErrorMessage="1" sqref="AR35">
      <formula1>$C$62:$C$65</formula1>
    </dataValidation>
    <dataValidation type="list" allowBlank="1" showInputMessage="1" showErrorMessage="1" sqref="G41">
      <formula1>$C$69:$C$70</formula1>
    </dataValidation>
    <dataValidation type="list" allowBlank="1" showInputMessage="1" showErrorMessage="1" sqref="W44 AA44">
      <formula1>$BY$14:$BY$17</formula1>
    </dataValidation>
    <dataValidation type="list" allowBlank="1" showInputMessage="1" showErrorMessage="1" sqref="W45 AA45">
      <formula1>$BY$29:$BY$34</formula1>
    </dataValidation>
    <dataValidation type="list" allowBlank="1" showInputMessage="1" showErrorMessage="1" sqref="C16">
      <formula1>$C$162:$C$168</formula1>
    </dataValidation>
    <dataValidation type="list" allowBlank="1" showInputMessage="1" showErrorMessage="1" sqref="Z17:AA17">
      <formula1>$BY$48:$BY$54</formula1>
    </dataValidation>
  </dataValidations>
  <pageMargins left="0.74803149606299213" right="0.35433070866141736" top="0.82677165354330717" bottom="0.31496062992125984" header="0.19685039370078741" footer="0.23622047244094491"/>
  <pageSetup paperSize="9" scale="85" fitToWidth="0" fitToHeight="0" orientation="landscape" horizontalDpi="300" verticalDpi="12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204"/>
  <sheetViews>
    <sheetView showGridLines="0" topLeftCell="A32" workbookViewId="0">
      <selection activeCell="I42" sqref="I42"/>
    </sheetView>
  </sheetViews>
  <sheetFormatPr defaultRowHeight="12.75" x14ac:dyDescent="0.2"/>
  <cols>
    <col min="1" max="1" width="7.28515625" customWidth="1"/>
    <col min="2" max="2" width="4.7109375" customWidth="1"/>
    <col min="3" max="3" width="19.140625" customWidth="1"/>
    <col min="4" max="4" width="24.5703125" customWidth="1"/>
    <col min="6" max="6" width="10.28515625" bestFit="1" customWidth="1"/>
    <col min="7" max="7" width="17" customWidth="1"/>
    <col min="8" max="8" width="7" customWidth="1"/>
    <col min="9" max="9" width="16.7109375" customWidth="1"/>
    <col min="10" max="10" width="6.28515625" customWidth="1"/>
    <col min="11" max="11" width="16.85546875" customWidth="1"/>
    <col min="12" max="12" width="7.28515625" customWidth="1"/>
    <col min="13" max="14" width="1.7109375" customWidth="1"/>
    <col min="15" max="15" width="4.28515625" customWidth="1"/>
    <col min="16" max="16" width="24.42578125" customWidth="1"/>
    <col min="17" max="35" width="4.7109375" customWidth="1"/>
    <col min="36" max="36" width="6" customWidth="1"/>
    <col min="37" max="37" width="7" customWidth="1"/>
    <col min="38" max="49" width="9.140625" customWidth="1"/>
  </cols>
  <sheetData>
    <row r="1" spans="1:44" ht="12" customHeight="1" x14ac:dyDescent="0.2">
      <c r="O1" s="99"/>
      <c r="P1" s="101" t="s">
        <v>1</v>
      </c>
      <c r="Q1" s="102"/>
      <c r="R1" s="102"/>
      <c r="S1" s="102"/>
      <c r="T1" s="102"/>
      <c r="U1" s="102"/>
      <c r="V1" s="102"/>
      <c r="W1" s="102"/>
      <c r="X1" s="102" t="s">
        <v>1</v>
      </c>
      <c r="Y1" s="102" t="s">
        <v>1</v>
      </c>
      <c r="Z1" s="102"/>
      <c r="AA1" s="102" t="s">
        <v>1</v>
      </c>
      <c r="AB1" s="102"/>
      <c r="AC1" s="102" t="s">
        <v>1</v>
      </c>
      <c r="AD1" s="102" t="s">
        <v>1</v>
      </c>
      <c r="AH1" s="87"/>
      <c r="AI1" s="87"/>
    </row>
    <row r="2" spans="1:44" ht="12" customHeight="1" thickBot="1" x14ac:dyDescent="0.25">
      <c r="A2" s="52" t="s">
        <v>1</v>
      </c>
      <c r="B2" s="820" t="s">
        <v>1</v>
      </c>
      <c r="C2" s="820"/>
      <c r="D2" s="820"/>
      <c r="E2" s="820"/>
      <c r="F2" s="820"/>
      <c r="G2" s="820"/>
      <c r="H2" s="114"/>
      <c r="I2" s="114"/>
      <c r="J2" s="114"/>
      <c r="K2" s="114"/>
      <c r="L2" s="114"/>
      <c r="M2" s="114"/>
      <c r="O2" s="99">
        <v>0</v>
      </c>
      <c r="P2" s="101" t="s">
        <v>93</v>
      </c>
      <c r="Q2" s="102"/>
      <c r="R2" s="102"/>
      <c r="S2" s="102"/>
      <c r="T2" s="102"/>
      <c r="U2" s="102"/>
      <c r="V2" s="102"/>
      <c r="W2" s="102"/>
      <c r="X2" s="102" t="s">
        <v>1</v>
      </c>
      <c r="Y2" s="102">
        <v>102</v>
      </c>
      <c r="Z2" s="102"/>
      <c r="AA2" s="102">
        <v>153</v>
      </c>
      <c r="AB2" s="102"/>
      <c r="AC2" s="102">
        <v>229</v>
      </c>
      <c r="AD2" s="102">
        <v>304</v>
      </c>
      <c r="AH2" s="831" t="s">
        <v>104</v>
      </c>
      <c r="AI2" s="831"/>
    </row>
    <row r="3" spans="1:44" ht="12" customHeight="1" x14ac:dyDescent="0.2">
      <c r="A3" s="2"/>
      <c r="B3" s="825" t="s">
        <v>59</v>
      </c>
      <c r="C3" s="826"/>
      <c r="D3" s="826"/>
      <c r="E3" s="827"/>
      <c r="F3" s="828" t="s">
        <v>79</v>
      </c>
      <c r="G3" s="829"/>
      <c r="H3" s="828" t="s">
        <v>79</v>
      </c>
      <c r="I3" s="829"/>
      <c r="J3" s="828" t="s">
        <v>79</v>
      </c>
      <c r="K3" s="829"/>
      <c r="L3" s="71"/>
      <c r="M3" s="71"/>
      <c r="O3" s="99">
        <v>1</v>
      </c>
      <c r="P3" s="100" t="s">
        <v>94</v>
      </c>
      <c r="Q3" s="105">
        <v>10.9</v>
      </c>
      <c r="R3" s="105">
        <v>17</v>
      </c>
      <c r="S3" s="105">
        <v>23</v>
      </c>
      <c r="T3" s="105">
        <v>29.3</v>
      </c>
      <c r="U3" s="105">
        <v>35.700000000000003</v>
      </c>
      <c r="V3" s="105">
        <v>48.4</v>
      </c>
      <c r="W3" s="105">
        <v>61.1</v>
      </c>
      <c r="X3" s="105">
        <v>72.900000000000006</v>
      </c>
      <c r="Y3" s="105">
        <v>98.3</v>
      </c>
      <c r="Z3" s="105">
        <v>123.7</v>
      </c>
      <c r="AA3" s="105">
        <v>148.30000000000001</v>
      </c>
      <c r="AB3" s="105">
        <v>199.1</v>
      </c>
      <c r="AC3" s="111">
        <v>223.3</v>
      </c>
      <c r="AD3" s="107">
        <v>300</v>
      </c>
      <c r="AE3" s="107">
        <v>400</v>
      </c>
      <c r="AF3" s="107">
        <v>450</v>
      </c>
      <c r="AG3" s="107">
        <v>600</v>
      </c>
      <c r="AH3" s="87">
        <v>139</v>
      </c>
      <c r="AI3" s="87">
        <v>146</v>
      </c>
      <c r="AJ3" s="110">
        <v>165</v>
      </c>
      <c r="AK3" s="110">
        <v>155</v>
      </c>
    </row>
    <row r="4" spans="1:44" ht="12" customHeight="1" x14ac:dyDescent="0.2">
      <c r="A4" s="50" t="s">
        <v>1</v>
      </c>
      <c r="B4" s="821" t="s">
        <v>1</v>
      </c>
      <c r="C4" s="830"/>
      <c r="D4" s="830"/>
      <c r="E4" s="822"/>
      <c r="F4" s="821" t="s">
        <v>126</v>
      </c>
      <c r="G4" s="822"/>
      <c r="H4" s="821" t="s">
        <v>127</v>
      </c>
      <c r="I4" s="822"/>
      <c r="J4" s="821" t="s">
        <v>128</v>
      </c>
      <c r="K4" s="822"/>
      <c r="L4" s="113"/>
      <c r="M4" s="113"/>
      <c r="O4" s="99">
        <v>2</v>
      </c>
      <c r="P4" s="100" t="s">
        <v>103</v>
      </c>
      <c r="Q4" s="104">
        <v>15.8</v>
      </c>
      <c r="R4" s="104">
        <v>21</v>
      </c>
      <c r="S4" s="104">
        <v>26.6</v>
      </c>
      <c r="T4" s="104">
        <v>35.1</v>
      </c>
      <c r="U4" s="104">
        <v>40.9</v>
      </c>
      <c r="V4" s="104">
        <v>52.5</v>
      </c>
      <c r="W4" s="104">
        <v>62.7</v>
      </c>
      <c r="X4" s="104">
        <v>77.900000000000006</v>
      </c>
      <c r="Y4" s="104">
        <v>102.3</v>
      </c>
      <c r="Z4" s="104">
        <v>128.19999999999999</v>
      </c>
      <c r="AA4" s="104">
        <v>154.1</v>
      </c>
      <c r="AB4" s="104">
        <v>202.7</v>
      </c>
      <c r="AC4" s="104">
        <v>254.5</v>
      </c>
      <c r="AD4" s="104">
        <v>303.3</v>
      </c>
      <c r="AE4" s="107">
        <v>400</v>
      </c>
      <c r="AF4" s="107">
        <v>450</v>
      </c>
      <c r="AG4" s="107">
        <v>600</v>
      </c>
      <c r="AH4" s="87">
        <v>130</v>
      </c>
      <c r="AI4" s="87">
        <v>142</v>
      </c>
      <c r="AJ4" s="110">
        <v>146</v>
      </c>
      <c r="AK4" s="110">
        <v>146</v>
      </c>
    </row>
    <row r="5" spans="1:44" ht="12" customHeight="1" thickBot="1" x14ac:dyDescent="0.25">
      <c r="A5" s="51" t="s">
        <v>1</v>
      </c>
      <c r="B5" s="53" t="s">
        <v>60</v>
      </c>
      <c r="C5" s="52"/>
      <c r="D5" s="823" t="s">
        <v>61</v>
      </c>
      <c r="E5" s="824"/>
      <c r="F5" s="4"/>
      <c r="G5" s="3"/>
      <c r="H5" s="4"/>
      <c r="I5" s="3"/>
      <c r="J5" s="4"/>
      <c r="K5" s="3"/>
      <c r="L5" s="71"/>
      <c r="M5" s="71"/>
      <c r="O5" s="99">
        <v>3</v>
      </c>
      <c r="P5" s="100" t="s">
        <v>102</v>
      </c>
      <c r="Q5" s="102">
        <v>16.100000000000001</v>
      </c>
      <c r="R5" s="102">
        <v>21.7</v>
      </c>
      <c r="S5" s="102">
        <v>27.3</v>
      </c>
      <c r="T5" s="102">
        <v>36</v>
      </c>
      <c r="U5" s="102">
        <v>41.9</v>
      </c>
      <c r="V5" s="102">
        <v>53.1</v>
      </c>
      <c r="W5" s="102">
        <v>68.900000000000006</v>
      </c>
      <c r="X5" s="102">
        <v>80.900000000000006</v>
      </c>
      <c r="Y5" s="102">
        <v>105.3</v>
      </c>
      <c r="Z5" s="102">
        <v>129.9</v>
      </c>
      <c r="AA5" s="102">
        <v>155.30000000000001</v>
      </c>
      <c r="AB5" s="107">
        <v>200</v>
      </c>
      <c r="AC5" s="107">
        <v>250</v>
      </c>
      <c r="AD5" s="107">
        <v>300</v>
      </c>
      <c r="AE5" s="107">
        <v>400</v>
      </c>
      <c r="AF5" s="107">
        <v>450</v>
      </c>
      <c r="AG5" s="107">
        <v>600</v>
      </c>
      <c r="AH5" s="87">
        <v>109</v>
      </c>
      <c r="AI5" s="87">
        <v>129</v>
      </c>
      <c r="AJ5" s="110">
        <v>140</v>
      </c>
      <c r="AK5" s="110">
        <v>125</v>
      </c>
    </row>
    <row r="6" spans="1:44" ht="12" customHeight="1" thickBot="1" x14ac:dyDescent="0.25">
      <c r="A6" s="402"/>
      <c r="B6" s="837" t="s">
        <v>50</v>
      </c>
      <c r="C6" s="838"/>
      <c r="D6" s="839"/>
      <c r="E6" s="45" t="s">
        <v>78</v>
      </c>
      <c r="F6" s="45" t="s">
        <v>76</v>
      </c>
      <c r="G6" s="45" t="s">
        <v>29</v>
      </c>
      <c r="H6" s="123" t="s">
        <v>76</v>
      </c>
      <c r="I6" s="123" t="s">
        <v>29</v>
      </c>
      <c r="J6" s="123" t="s">
        <v>76</v>
      </c>
      <c r="K6" s="123" t="s">
        <v>29</v>
      </c>
      <c r="L6" s="113"/>
      <c r="M6" s="113"/>
      <c r="O6" s="99">
        <v>4</v>
      </c>
      <c r="P6" s="87" t="s">
        <v>95</v>
      </c>
      <c r="Q6" s="105">
        <v>10.9</v>
      </c>
      <c r="R6" s="105">
        <v>17</v>
      </c>
      <c r="S6" s="105">
        <v>23</v>
      </c>
      <c r="T6" s="105">
        <v>29.3</v>
      </c>
      <c r="U6" s="105">
        <v>35.700000000000003</v>
      </c>
      <c r="V6" s="105">
        <v>48.4</v>
      </c>
      <c r="W6" s="105">
        <v>61.1</v>
      </c>
      <c r="X6" s="105">
        <v>72.900000000000006</v>
      </c>
      <c r="Y6" s="105">
        <v>98.3</v>
      </c>
      <c r="Z6" s="105">
        <v>123.7</v>
      </c>
      <c r="AA6" s="105">
        <v>148.30000000000001</v>
      </c>
      <c r="AB6" s="105">
        <v>199.1</v>
      </c>
      <c r="AC6" s="111">
        <v>223.3</v>
      </c>
      <c r="AD6" s="107">
        <v>300</v>
      </c>
      <c r="AE6" s="107">
        <v>400</v>
      </c>
      <c r="AF6" s="107">
        <v>450</v>
      </c>
      <c r="AG6" s="107">
        <v>600</v>
      </c>
      <c r="AH6" s="87">
        <v>139</v>
      </c>
      <c r="AI6" s="87">
        <v>146</v>
      </c>
      <c r="AJ6" s="110">
        <v>165</v>
      </c>
      <c r="AK6" s="110">
        <v>155</v>
      </c>
    </row>
    <row r="7" spans="1:44" ht="12" customHeight="1" x14ac:dyDescent="0.2">
      <c r="A7" s="403"/>
      <c r="B7" s="59"/>
      <c r="C7" s="18"/>
      <c r="D7" s="18"/>
      <c r="E7" s="13"/>
      <c r="F7" s="6"/>
      <c r="G7" s="89"/>
      <c r="H7" s="124"/>
      <c r="I7" s="124"/>
      <c r="J7" s="124"/>
      <c r="K7" s="124"/>
      <c r="L7" s="113"/>
      <c r="M7" s="113"/>
      <c r="O7" s="99">
        <v>5</v>
      </c>
      <c r="P7" s="100" t="s">
        <v>96</v>
      </c>
      <c r="Q7" s="107">
        <v>15</v>
      </c>
      <c r="R7" s="107">
        <v>20</v>
      </c>
      <c r="S7" s="107">
        <v>25</v>
      </c>
      <c r="T7" s="107">
        <v>32</v>
      </c>
      <c r="U7" s="107">
        <v>40</v>
      </c>
      <c r="V7" s="107">
        <v>50</v>
      </c>
      <c r="W7" s="107">
        <v>65</v>
      </c>
      <c r="X7" s="102">
        <v>81.5</v>
      </c>
      <c r="Y7" s="102">
        <v>107.5</v>
      </c>
      <c r="Z7" s="107">
        <v>125</v>
      </c>
      <c r="AA7" s="102">
        <v>161.69999999999999</v>
      </c>
      <c r="AB7" s="102">
        <v>215.4</v>
      </c>
      <c r="AC7" s="102">
        <v>268</v>
      </c>
      <c r="AD7" s="102">
        <v>326.2</v>
      </c>
      <c r="AE7" s="107">
        <v>400</v>
      </c>
      <c r="AF7" s="107">
        <v>450</v>
      </c>
      <c r="AG7" s="107">
        <v>600</v>
      </c>
      <c r="AH7" s="87">
        <v>118</v>
      </c>
      <c r="AI7" s="87">
        <v>126</v>
      </c>
      <c r="AJ7" s="110">
        <v>140</v>
      </c>
      <c r="AK7" s="110">
        <v>125</v>
      </c>
    </row>
    <row r="8" spans="1:44" ht="12" customHeight="1" x14ac:dyDescent="0.2">
      <c r="A8" s="403"/>
      <c r="B8" s="60" t="s">
        <v>6</v>
      </c>
      <c r="C8" s="23"/>
      <c r="D8" s="23" t="s">
        <v>7</v>
      </c>
      <c r="E8" s="25" t="s">
        <v>75</v>
      </c>
      <c r="F8" s="86">
        <f>'Newtonus.Calculator.T Head.Pipe'!Y16</f>
        <v>1.388889</v>
      </c>
      <c r="G8" s="115" t="s">
        <v>1</v>
      </c>
      <c r="H8" s="125">
        <f>'Newtonus.Calculator.T Head.Pipe'!AU9/3.6</f>
        <v>0</v>
      </c>
      <c r="I8" s="125"/>
      <c r="J8" s="125">
        <f>'Newtonus.Calculator.T Head.Pipe'!AX9/3.6</f>
        <v>0</v>
      </c>
      <c r="K8" s="125"/>
      <c r="L8" s="113"/>
      <c r="M8" s="113"/>
      <c r="O8" s="99">
        <v>6</v>
      </c>
      <c r="P8" s="100" t="s">
        <v>117</v>
      </c>
      <c r="Q8" s="111">
        <v>12.7</v>
      </c>
      <c r="R8" s="111">
        <v>16.7</v>
      </c>
      <c r="S8" s="111">
        <v>21.7</v>
      </c>
      <c r="T8" s="111">
        <v>28.1</v>
      </c>
      <c r="U8" s="111">
        <v>35.200000000000003</v>
      </c>
      <c r="V8" s="111">
        <v>44</v>
      </c>
      <c r="W8" s="111">
        <v>55.6</v>
      </c>
      <c r="X8" s="102">
        <v>66.099999999999994</v>
      </c>
      <c r="Y8" s="102">
        <v>97.1</v>
      </c>
      <c r="Z8" s="111">
        <v>110</v>
      </c>
      <c r="AA8" s="102">
        <v>141.19999999999999</v>
      </c>
      <c r="AB8" s="102">
        <v>176.5</v>
      </c>
      <c r="AC8" s="102">
        <v>221</v>
      </c>
      <c r="AD8" s="102">
        <v>278</v>
      </c>
      <c r="AE8" s="107">
        <v>400</v>
      </c>
      <c r="AF8" s="107">
        <v>450</v>
      </c>
      <c r="AG8" s="107">
        <v>600</v>
      </c>
      <c r="AH8" s="87">
        <v>140</v>
      </c>
      <c r="AI8" s="87">
        <v>146</v>
      </c>
      <c r="AJ8" s="110">
        <v>140</v>
      </c>
      <c r="AK8" s="110">
        <v>130</v>
      </c>
    </row>
    <row r="9" spans="1:44" ht="12" customHeight="1" x14ac:dyDescent="0.2">
      <c r="A9" s="403"/>
      <c r="B9" s="59"/>
      <c r="C9" s="18"/>
      <c r="D9" s="18" t="s">
        <v>1</v>
      </c>
      <c r="E9" s="12"/>
      <c r="F9" s="12" t="s">
        <v>100</v>
      </c>
      <c r="G9" s="19" t="s">
        <v>101</v>
      </c>
      <c r="H9" s="125"/>
      <c r="I9" s="125"/>
      <c r="J9" s="125"/>
      <c r="K9" s="125"/>
      <c r="L9" s="113"/>
      <c r="M9" s="113"/>
      <c r="O9" s="99">
        <v>7</v>
      </c>
      <c r="P9" s="100" t="s">
        <v>116</v>
      </c>
      <c r="Q9" s="102">
        <v>18.3</v>
      </c>
      <c r="R9" s="102">
        <v>23</v>
      </c>
      <c r="S9" s="102">
        <v>29</v>
      </c>
      <c r="T9" s="102">
        <v>36.4</v>
      </c>
      <c r="U9" s="102">
        <v>41.6</v>
      </c>
      <c r="V9" s="102">
        <v>52.2</v>
      </c>
      <c r="W9" s="107">
        <v>65</v>
      </c>
      <c r="X9" s="102">
        <v>76.7</v>
      </c>
      <c r="Y9" s="102">
        <v>98.8</v>
      </c>
      <c r="Z9" s="107">
        <v>125</v>
      </c>
      <c r="AA9" s="102">
        <v>138.69999999999999</v>
      </c>
      <c r="AB9" s="107">
        <v>200</v>
      </c>
      <c r="AC9" s="107">
        <v>250</v>
      </c>
      <c r="AD9" s="107">
        <v>300</v>
      </c>
      <c r="AE9" s="107">
        <v>400</v>
      </c>
      <c r="AF9" s="107">
        <v>450</v>
      </c>
      <c r="AG9" s="107">
        <v>600</v>
      </c>
      <c r="AH9" s="87">
        <v>140</v>
      </c>
      <c r="AI9" s="87">
        <v>151</v>
      </c>
      <c r="AJ9" s="110">
        <v>140</v>
      </c>
      <c r="AK9" s="110">
        <v>125</v>
      </c>
    </row>
    <row r="10" spans="1:44" ht="12" customHeight="1" x14ac:dyDescent="0.2">
      <c r="A10" s="403"/>
      <c r="B10" s="60" t="s">
        <v>2</v>
      </c>
      <c r="C10" s="23"/>
      <c r="D10" s="23" t="s">
        <v>53</v>
      </c>
      <c r="E10" s="25">
        <f>K200</f>
        <v>25</v>
      </c>
      <c r="F10" s="73">
        <f>'Newtonus.Calculator.T Head.Pipe'!G27</f>
        <v>25</v>
      </c>
      <c r="G10" s="116">
        <f>IF('Newtonus.Calculator.T Head.Pipe'!G29="T",Tot.Head!AH54,IF('Newtonus.Calculator.T Head.Pipe'!G29="Y",'Newtonus.Calculator.T Head.Pipe'!G30,IF('Newtonus.Calculator.T Head.Pipe'!G29="t",Tot.Head!AH54,IF('Newtonus.Calculator.T Head.Pipe'!G29="y",'Newtonus.Calculator.T Head.Pipe'!G30,))))</f>
        <v>27.3</v>
      </c>
      <c r="H10" s="125"/>
      <c r="I10" s="125"/>
      <c r="J10" s="125"/>
      <c r="K10" s="125"/>
      <c r="L10" s="113"/>
      <c r="M10" s="113"/>
      <c r="O10" s="85" t="s">
        <v>48</v>
      </c>
      <c r="P10" s="85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87"/>
      <c r="AI10" s="87"/>
    </row>
    <row r="11" spans="1:44" ht="9.9499999999999993" customHeight="1" x14ac:dyDescent="0.2">
      <c r="A11" s="545" t="str">
        <f>'Newtonus.Calculator.T Head.Pipe'!M16</f>
        <v xml:space="preserve"> </v>
      </c>
      <c r="B11" s="60"/>
      <c r="C11" s="23"/>
      <c r="D11" s="23" t="s">
        <v>51</v>
      </c>
      <c r="E11" s="25" t="s">
        <v>0</v>
      </c>
      <c r="F11" s="73">
        <f>IF('Newtonus.Calculator.T Head.Pipe'!G18&lt;=1,'Newtonus.Calculator.T Head.Pipe'!G34,IF('Newtonus.Calculator.T Head.Pipe'!G18=2,'Newtonus.Calculator.T Head.Pipe'!G34,IF('Newtonus.Calculator.T Head.Pipe'!G18=3,'Newtonus.Calculator.T Head.Pipe'!G34,IF('Newtonus.Calculator.T Head.Pipe'!G18=4,-'Newtonus.Calculator.T Head.Pipe'!G34,IF('Newtonus.Calculator.T Head.Pipe'!G18=5,-'Newtonus.Calculator.T Head.Pipe'!G34,IF('Newtonus.Calculator.T Head.Pipe'!G18=6,'Newtonus.Calculator.T Head.Pipe'!G34,IF('Newtonus.Calculator.T Head.Pipe'!G18=7,0,IF('Newtonus.Calculator.T Head.Pipe'!G18=8,-('Newtonus.Calculator.T Head.Pipe'!G34+A11),))))))))</f>
        <v>1</v>
      </c>
      <c r="G11" s="117" t="s">
        <v>72</v>
      </c>
      <c r="H11" s="125"/>
      <c r="I11" s="125"/>
      <c r="J11" s="125"/>
      <c r="K11" s="125"/>
      <c r="L11" s="113"/>
      <c r="M11" s="113"/>
      <c r="O11" s="31"/>
      <c r="P11" s="31"/>
      <c r="Q11" s="834" t="s">
        <v>38</v>
      </c>
      <c r="R11" s="834"/>
      <c r="S11" s="834"/>
      <c r="T11" s="834"/>
      <c r="U11" s="834"/>
      <c r="V11" s="834"/>
      <c r="W11" s="834"/>
      <c r="X11" s="834"/>
      <c r="Y11" s="834"/>
      <c r="Z11" s="834"/>
      <c r="AA11" s="834"/>
      <c r="AB11" s="834"/>
      <c r="AC11" s="834"/>
      <c r="AD11" s="834"/>
      <c r="AE11" s="834"/>
      <c r="AF11" s="834"/>
      <c r="AG11" s="835"/>
    </row>
    <row r="12" spans="1:44" ht="9.9499999999999993" customHeight="1" x14ac:dyDescent="0.2">
      <c r="A12" s="403"/>
      <c r="B12" s="60"/>
      <c r="C12" s="23"/>
      <c r="D12" s="23" t="s">
        <v>52</v>
      </c>
      <c r="E12" s="25" t="s">
        <v>0</v>
      </c>
      <c r="F12" s="73">
        <f>'Newtonus.Calculator.T Head.Pipe'!G23</f>
        <v>5</v>
      </c>
      <c r="G12" s="116" t="s">
        <v>23</v>
      </c>
      <c r="H12" s="125"/>
      <c r="I12" s="125"/>
      <c r="J12" s="125"/>
      <c r="K12" s="125"/>
      <c r="L12" s="113"/>
      <c r="M12" s="113"/>
      <c r="O12" s="32" t="s">
        <v>39</v>
      </c>
      <c r="P12" s="33" t="s">
        <v>30</v>
      </c>
      <c r="Q12" s="10">
        <v>15</v>
      </c>
      <c r="R12" s="10">
        <v>20</v>
      </c>
      <c r="S12" s="10">
        <v>25</v>
      </c>
      <c r="T12" s="10">
        <v>32</v>
      </c>
      <c r="U12" s="10">
        <v>40</v>
      </c>
      <c r="V12" s="10">
        <v>50</v>
      </c>
      <c r="W12" s="10">
        <v>65</v>
      </c>
      <c r="X12" s="10">
        <v>80</v>
      </c>
      <c r="Y12" s="10">
        <v>100</v>
      </c>
      <c r="Z12" s="10">
        <v>125</v>
      </c>
      <c r="AA12" s="10">
        <v>150</v>
      </c>
      <c r="AB12" s="10">
        <v>200</v>
      </c>
      <c r="AC12" s="10">
        <v>250</v>
      </c>
      <c r="AD12" s="10">
        <v>300</v>
      </c>
      <c r="AE12" s="10">
        <v>400</v>
      </c>
      <c r="AF12" s="10">
        <v>450</v>
      </c>
      <c r="AG12" s="10">
        <v>600</v>
      </c>
    </row>
    <row r="13" spans="1:44" ht="9.9499999999999993" customHeight="1" x14ac:dyDescent="0.2">
      <c r="A13" s="403"/>
      <c r="B13" s="60"/>
      <c r="C13" s="23"/>
      <c r="D13" s="23" t="s">
        <v>87</v>
      </c>
      <c r="E13" s="74">
        <f>F13</f>
        <v>116</v>
      </c>
      <c r="F13" s="74">
        <f>AH138</f>
        <v>116</v>
      </c>
      <c r="G13" s="144" t="str">
        <f>CHOOSE('Newtonus.Calculator.T Head.Pipe'!$G$20,"Stainless S","Steel sch. 40","Galv iron","Copper","CI Uncoat-K12","PE Class-6","PVC Class-15")</f>
        <v>Galv iron</v>
      </c>
      <c r="H13" s="125"/>
      <c r="I13" s="125"/>
      <c r="J13" s="125"/>
      <c r="K13" s="125"/>
      <c r="L13" s="113"/>
      <c r="M13" s="113"/>
      <c r="O13" s="8"/>
      <c r="P13" s="8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M13" s="404" t="s">
        <v>25</v>
      </c>
      <c r="AN13" s="340"/>
      <c r="AO13" s="340"/>
    </row>
    <row r="14" spans="1:44" ht="9.9499999999999993" customHeight="1" x14ac:dyDescent="0.2">
      <c r="A14" s="403"/>
      <c r="B14" s="60"/>
      <c r="C14" s="23"/>
      <c r="D14" s="27" t="s">
        <v>158</v>
      </c>
      <c r="E14" s="28" t="s">
        <v>0</v>
      </c>
      <c r="F14" s="92">
        <f>-('Newtonus.Calculator.T Head.Pipe'!G23-'Newtonus.Calculator.T Head.Pipe'!G34)</f>
        <v>-4</v>
      </c>
      <c r="G14" s="119" t="s">
        <v>1</v>
      </c>
      <c r="H14" s="72" t="s">
        <v>1</v>
      </c>
      <c r="I14" s="125"/>
      <c r="J14" s="125"/>
      <c r="K14" s="125"/>
      <c r="L14" s="113"/>
      <c r="M14" s="113"/>
      <c r="O14" s="12">
        <v>1</v>
      </c>
      <c r="P14" s="13" t="s">
        <v>40</v>
      </c>
      <c r="Q14" s="13">
        <v>0.08</v>
      </c>
      <c r="R14" s="13">
        <v>0.08</v>
      </c>
      <c r="S14" s="13">
        <v>7.0000000000000007E-2</v>
      </c>
      <c r="T14" s="13">
        <v>7.0000000000000007E-2</v>
      </c>
      <c r="U14" s="13">
        <v>0.06</v>
      </c>
      <c r="V14" s="13">
        <v>0.06</v>
      </c>
      <c r="W14" s="13">
        <v>0.05</v>
      </c>
      <c r="X14" s="13">
        <v>0.05</v>
      </c>
      <c r="Y14" s="13">
        <v>0.05</v>
      </c>
      <c r="Z14" s="13">
        <v>0.05</v>
      </c>
      <c r="AA14" s="13">
        <v>0.05</v>
      </c>
      <c r="AB14" s="13">
        <v>0.04</v>
      </c>
      <c r="AC14" s="13">
        <v>0.04</v>
      </c>
      <c r="AD14" s="13">
        <v>0.04</v>
      </c>
      <c r="AE14" s="13">
        <v>0.04</v>
      </c>
      <c r="AF14" s="13">
        <v>0.04</v>
      </c>
      <c r="AG14" s="13">
        <v>0.04</v>
      </c>
      <c r="AM14" s="404" t="s">
        <v>26</v>
      </c>
      <c r="AN14" s="340"/>
      <c r="AO14" s="404" t="s">
        <v>235</v>
      </c>
      <c r="AP14" s="87" t="s">
        <v>1</v>
      </c>
      <c r="AQ14" s="87" t="s">
        <v>1</v>
      </c>
    </row>
    <row r="15" spans="1:44" ht="9.9499999999999993" customHeight="1" x14ac:dyDescent="0.2">
      <c r="A15" s="403"/>
      <c r="B15" s="60"/>
      <c r="C15" s="26" t="s">
        <v>25</v>
      </c>
      <c r="D15" s="23" t="s">
        <v>3</v>
      </c>
      <c r="E15" s="25" t="s">
        <v>0</v>
      </c>
      <c r="F15" s="90">
        <f>IF($E$10&lt;=80,Q110,IF($E$10&lt;=450,R110,IF($E$10=600,S110,)))</f>
        <v>1.38</v>
      </c>
      <c r="G15" s="115">
        <f>'Newtonus.Calculator.T Head.Pipe'!G40</f>
        <v>0</v>
      </c>
      <c r="H15" s="125"/>
      <c r="I15" s="125"/>
      <c r="J15" s="125"/>
      <c r="K15" s="125"/>
      <c r="L15" s="113"/>
      <c r="M15" s="113"/>
      <c r="O15" s="12">
        <v>2</v>
      </c>
      <c r="P15" s="13" t="s">
        <v>80</v>
      </c>
      <c r="Q15" s="91">
        <v>0.86</v>
      </c>
      <c r="R15" s="91">
        <v>0.86</v>
      </c>
      <c r="S15" s="91">
        <v>0.86</v>
      </c>
      <c r="T15" s="91">
        <v>0.86</v>
      </c>
      <c r="U15" s="91">
        <v>0.86</v>
      </c>
      <c r="V15" s="13">
        <v>0.86</v>
      </c>
      <c r="W15" s="13">
        <v>0.81</v>
      </c>
      <c r="X15" s="13">
        <v>0.81</v>
      </c>
      <c r="Y15" s="13">
        <v>0.77</v>
      </c>
      <c r="Z15" s="13">
        <v>0.72</v>
      </c>
      <c r="AA15" s="13">
        <v>0.68</v>
      </c>
      <c r="AB15" s="13">
        <v>0.56000000000000005</v>
      </c>
      <c r="AC15" s="13">
        <v>0.56000000000000005</v>
      </c>
      <c r="AD15" s="13">
        <v>0.39</v>
      </c>
      <c r="AE15" s="13">
        <v>0.39</v>
      </c>
      <c r="AF15" s="13">
        <v>0.3</v>
      </c>
      <c r="AG15" s="13">
        <v>0.3</v>
      </c>
      <c r="AM15" s="404" t="str">
        <f>D15</f>
        <v>Tee</v>
      </c>
      <c r="AN15" s="340"/>
      <c r="AO15" s="404" t="str">
        <f>IF(G15=0,"",IF(G15&gt;=1,F15,))</f>
        <v/>
      </c>
      <c r="AP15" s="87" t="s">
        <v>1</v>
      </c>
      <c r="AQ15" s="87" t="s">
        <v>1</v>
      </c>
      <c r="AR15" s="87" t="s">
        <v>1</v>
      </c>
    </row>
    <row r="16" spans="1:44" ht="9.9499999999999993" customHeight="1" x14ac:dyDescent="0.2">
      <c r="A16" s="403"/>
      <c r="B16" s="61" t="s">
        <v>1</v>
      </c>
      <c r="C16" s="26" t="s">
        <v>16</v>
      </c>
      <c r="D16" s="23" t="s">
        <v>45</v>
      </c>
      <c r="E16" s="25" t="s">
        <v>0</v>
      </c>
      <c r="F16" s="90">
        <f>IF($E$10&lt;=80,Q109,IF($E$10&lt;=450,R109,IF($E$10=600,S109,)))</f>
        <v>0.69</v>
      </c>
      <c r="G16" s="115">
        <f>'Newtonus.Calculator.T Head.Pipe'!G39</f>
        <v>1</v>
      </c>
      <c r="H16" s="125"/>
      <c r="I16" s="125"/>
      <c r="J16" s="125"/>
      <c r="K16" s="125"/>
      <c r="L16" s="113"/>
      <c r="M16" s="113"/>
      <c r="O16" s="12">
        <v>3</v>
      </c>
      <c r="P16" s="13" t="s">
        <v>44</v>
      </c>
      <c r="Q16" s="13">
        <v>1.35</v>
      </c>
      <c r="R16" s="13">
        <v>1.25</v>
      </c>
      <c r="S16" s="13">
        <v>1.1499999999999999</v>
      </c>
      <c r="T16" s="13">
        <v>1.1000000000000001</v>
      </c>
      <c r="U16" s="13">
        <v>1.05</v>
      </c>
      <c r="V16" s="13">
        <v>0.95</v>
      </c>
      <c r="W16" s="13">
        <v>0.9</v>
      </c>
      <c r="X16" s="13">
        <v>0.9</v>
      </c>
      <c r="Y16" s="13">
        <v>0.85</v>
      </c>
      <c r="Z16" s="13">
        <v>0.8</v>
      </c>
      <c r="AA16" s="13">
        <v>0.75</v>
      </c>
      <c r="AB16" s="13">
        <v>0.7</v>
      </c>
      <c r="AC16" s="13">
        <v>0.7</v>
      </c>
      <c r="AD16" s="13">
        <v>0.65</v>
      </c>
      <c r="AE16" s="13">
        <v>0.65</v>
      </c>
      <c r="AF16" s="13">
        <v>0.6</v>
      </c>
      <c r="AG16" s="13">
        <v>0.6</v>
      </c>
      <c r="AM16" s="404" t="str">
        <f t="shared" ref="AM16:AM19" si="0">D16</f>
        <v>L Elbow 90o</v>
      </c>
      <c r="AN16" s="340"/>
      <c r="AO16" s="404">
        <f>IF(G16=0,"",IF(G16&gt;=1,F16,))</f>
        <v>0.69</v>
      </c>
      <c r="AP16" s="87"/>
      <c r="AQ16" s="87"/>
      <c r="AR16" s="87"/>
    </row>
    <row r="17" spans="1:49" ht="9.9499999999999993" customHeight="1" x14ac:dyDescent="0.2">
      <c r="A17" s="403"/>
      <c r="B17" s="61"/>
      <c r="C17" s="26"/>
      <c r="D17" s="23" t="s">
        <v>36</v>
      </c>
      <c r="E17" s="25" t="s">
        <v>0</v>
      </c>
      <c r="F17" s="90">
        <f>IF($E$10&lt;=80,Q107,IF($E$10&lt;=450,R107,IF($E$10=600,S107,)))</f>
        <v>0.86</v>
      </c>
      <c r="G17" s="115">
        <f>'Newtonus.Calculator.T Head.Pipe'!G37</f>
        <v>0</v>
      </c>
      <c r="H17" s="125"/>
      <c r="I17" s="125"/>
      <c r="J17" s="125"/>
      <c r="K17" s="125"/>
      <c r="L17" s="113"/>
      <c r="M17" s="113"/>
      <c r="O17" s="12">
        <v>4</v>
      </c>
      <c r="P17" s="13" t="s">
        <v>41</v>
      </c>
      <c r="Q17" s="13">
        <v>0.81</v>
      </c>
      <c r="R17" s="13">
        <v>0.75</v>
      </c>
      <c r="S17" s="13">
        <v>0.69</v>
      </c>
      <c r="T17" s="13">
        <v>0.66</v>
      </c>
      <c r="U17" s="13">
        <v>0.63</v>
      </c>
      <c r="V17" s="13">
        <v>0.56999999999999995</v>
      </c>
      <c r="W17" s="13">
        <v>0.54</v>
      </c>
      <c r="X17" s="13">
        <v>0.54</v>
      </c>
      <c r="Y17" s="13">
        <v>0.51</v>
      </c>
      <c r="Z17" s="13">
        <v>0.48</v>
      </c>
      <c r="AA17" s="13">
        <v>0.45</v>
      </c>
      <c r="AB17" s="13">
        <v>0.42</v>
      </c>
      <c r="AC17" s="13">
        <v>0.42</v>
      </c>
      <c r="AD17" s="13">
        <v>0.39</v>
      </c>
      <c r="AE17" s="13">
        <v>0.39</v>
      </c>
      <c r="AF17" s="13">
        <v>0.36</v>
      </c>
      <c r="AG17" s="13">
        <v>0.36</v>
      </c>
      <c r="AM17" s="404" t="str">
        <f t="shared" si="0"/>
        <v>Butterfly  Valve</v>
      </c>
      <c r="AN17" s="340"/>
      <c r="AO17" s="404" t="str">
        <f t="shared" ref="AO17:AO19" si="1">IF(G17=0,"",IF(G17&gt;=1,F17,))</f>
        <v/>
      </c>
      <c r="AP17" s="87"/>
      <c r="AQ17" s="87"/>
      <c r="AR17" s="87"/>
    </row>
    <row r="18" spans="1:49" ht="9.9499999999999993" customHeight="1" x14ac:dyDescent="0.2">
      <c r="A18" s="403"/>
      <c r="B18" s="61"/>
      <c r="C18" s="26"/>
      <c r="D18" s="23" t="s">
        <v>24</v>
      </c>
      <c r="E18" s="25" t="s">
        <v>0</v>
      </c>
      <c r="F18" s="90">
        <f>IF($E$10&lt;=80,Q108,IF($E$10&lt;=450,R108,IF($E$10=600,S108,)))</f>
        <v>1.1499999999999999</v>
      </c>
      <c r="G18" s="115">
        <f>'Newtonus.Calculator.T Head.Pipe'!G38</f>
        <v>0</v>
      </c>
      <c r="H18" s="125"/>
      <c r="I18" s="125"/>
      <c r="J18" s="125"/>
      <c r="K18" s="125"/>
      <c r="L18" s="113"/>
      <c r="M18" s="113"/>
      <c r="O18" s="12">
        <v>5</v>
      </c>
      <c r="P18" s="13" t="s">
        <v>3</v>
      </c>
      <c r="Q18" s="13">
        <v>1.62</v>
      </c>
      <c r="R18" s="13">
        <v>1.5</v>
      </c>
      <c r="S18" s="13">
        <v>1.38</v>
      </c>
      <c r="T18" s="13">
        <v>1.32</v>
      </c>
      <c r="U18" s="13">
        <v>1.26</v>
      </c>
      <c r="V18" s="13">
        <v>1.1399999999999999</v>
      </c>
      <c r="W18" s="13">
        <v>1.08</v>
      </c>
      <c r="X18" s="13">
        <v>1.08</v>
      </c>
      <c r="Y18" s="13">
        <v>1.02</v>
      </c>
      <c r="Z18" s="13">
        <v>0.96</v>
      </c>
      <c r="AA18" s="13">
        <v>0.9</v>
      </c>
      <c r="AB18" s="13">
        <v>0.84</v>
      </c>
      <c r="AC18" s="13">
        <v>0.84</v>
      </c>
      <c r="AD18" s="13">
        <v>0.78</v>
      </c>
      <c r="AE18" s="13">
        <v>0.78</v>
      </c>
      <c r="AF18" s="13">
        <v>0.72</v>
      </c>
      <c r="AG18" s="13">
        <v>0.72</v>
      </c>
      <c r="AM18" s="404" t="str">
        <f t="shared" si="0"/>
        <v>Check Valve</v>
      </c>
      <c r="AN18" s="340"/>
      <c r="AO18" s="404" t="str">
        <f t="shared" si="1"/>
        <v/>
      </c>
      <c r="AP18" s="87"/>
      <c r="AQ18" s="87"/>
      <c r="AR18" s="87"/>
    </row>
    <row r="19" spans="1:49" ht="9.9499999999999993" customHeight="1" x14ac:dyDescent="0.2">
      <c r="A19" s="403"/>
      <c r="B19" s="61"/>
      <c r="C19" s="26"/>
      <c r="D19" s="23" t="s">
        <v>4</v>
      </c>
      <c r="E19" s="25" t="s">
        <v>0</v>
      </c>
      <c r="F19" s="90">
        <f>IF($E$10&lt;=80,Q111,IF($E$10&lt;=450,R111,IF($E$10=600,S111,)))</f>
        <v>9.66</v>
      </c>
      <c r="G19" s="115">
        <f>'Newtonus.Calculator.T Head.Pipe'!G41</f>
        <v>0</v>
      </c>
      <c r="H19" s="72">
        <f>SUM((0)+(0)+(0)+(0)+($F$19*$G$19)+(0))*(($F$65)^2/(2*9.8))</f>
        <v>0</v>
      </c>
      <c r="I19" s="125"/>
      <c r="J19" s="125"/>
      <c r="K19" s="125"/>
      <c r="L19" s="113">
        <v>1</v>
      </c>
      <c r="M19" s="113"/>
      <c r="O19" s="12">
        <v>6</v>
      </c>
      <c r="P19" s="13" t="s">
        <v>42</v>
      </c>
      <c r="Q19" s="13">
        <v>11.34</v>
      </c>
      <c r="R19" s="13">
        <v>10.5</v>
      </c>
      <c r="S19" s="13">
        <v>9.66</v>
      </c>
      <c r="T19" s="13">
        <v>9.24</v>
      </c>
      <c r="U19" s="13">
        <v>8.82</v>
      </c>
      <c r="V19" s="13">
        <v>7.98</v>
      </c>
      <c r="W19" s="13">
        <v>7.58</v>
      </c>
      <c r="X19" s="13">
        <v>7.58</v>
      </c>
      <c r="Y19" s="13">
        <v>7.14</v>
      </c>
      <c r="Z19" s="13">
        <v>6.72</v>
      </c>
      <c r="AA19" s="13">
        <v>6.3</v>
      </c>
      <c r="AB19" s="13">
        <v>5.88</v>
      </c>
      <c r="AC19" s="13">
        <v>5.88</v>
      </c>
      <c r="AD19" s="13">
        <v>5.46</v>
      </c>
      <c r="AE19" s="13">
        <v>5.46</v>
      </c>
      <c r="AF19" s="13">
        <v>5.04</v>
      </c>
      <c r="AG19" s="13">
        <v>5.04</v>
      </c>
      <c r="AM19" s="404" t="str">
        <f t="shared" si="0"/>
        <v>Foot valve</v>
      </c>
      <c r="AN19" s="340"/>
      <c r="AO19" s="404" t="str">
        <f t="shared" si="1"/>
        <v/>
      </c>
      <c r="AP19" s="87"/>
      <c r="AQ19" s="87"/>
      <c r="AR19" s="87"/>
    </row>
    <row r="20" spans="1:49" ht="9.9499999999999993" customHeight="1" x14ac:dyDescent="0.2">
      <c r="A20" s="403"/>
      <c r="B20" s="61"/>
      <c r="C20" s="26"/>
      <c r="D20" s="23" t="s">
        <v>40</v>
      </c>
      <c r="E20" s="25" t="s">
        <v>0</v>
      </c>
      <c r="F20" s="90">
        <f>IF($E$10&lt;=80,Q106,IF($E$10&lt;=450,R106,IF($E$10=600,S106,)))</f>
        <v>7.0000000000000007E-2</v>
      </c>
      <c r="G20" s="115">
        <f>'Newtonus.Calculator.T Head.Pipe'!G36</f>
        <v>1</v>
      </c>
      <c r="H20" s="125"/>
      <c r="I20" s="125"/>
      <c r="J20" s="125"/>
      <c r="K20" s="125"/>
      <c r="L20" s="113"/>
      <c r="M20" s="113"/>
      <c r="O20" s="9"/>
      <c r="P20" s="9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M20" s="404" t="str">
        <f t="shared" ref="AM20" si="2">D20</f>
        <v>Ball Valve</v>
      </c>
      <c r="AN20" s="340"/>
      <c r="AO20" s="404">
        <f t="shared" ref="AO20" si="3">IF(G20=0,"",IF(G20&gt;=1,F20,))</f>
        <v>7.0000000000000007E-2</v>
      </c>
      <c r="AP20" s="87"/>
      <c r="AQ20" s="87"/>
      <c r="AR20" s="87"/>
    </row>
    <row r="21" spans="1:49" ht="11.1" customHeight="1" x14ac:dyDescent="0.2">
      <c r="A21" s="403"/>
      <c r="B21" s="59"/>
      <c r="C21" s="18"/>
      <c r="D21" s="18"/>
      <c r="E21" s="12"/>
      <c r="F21" s="12" t="s">
        <v>100</v>
      </c>
      <c r="G21" s="19" t="s">
        <v>101</v>
      </c>
      <c r="H21" s="12" t="s">
        <v>100</v>
      </c>
      <c r="I21" s="19" t="s">
        <v>101</v>
      </c>
      <c r="J21" s="12" t="s">
        <v>100</v>
      </c>
      <c r="K21" s="12" t="s">
        <v>101</v>
      </c>
      <c r="L21" s="113"/>
      <c r="M21" s="113"/>
      <c r="AO21" s="87"/>
      <c r="AP21" s="87"/>
      <c r="AQ21" s="87"/>
      <c r="AR21" s="87"/>
    </row>
    <row r="22" spans="1:49" ht="9.9499999999999993" customHeight="1" x14ac:dyDescent="0.2">
      <c r="A22" s="403"/>
      <c r="B22" s="62" t="s">
        <v>5</v>
      </c>
      <c r="C22" s="27"/>
      <c r="D22" s="27" t="s">
        <v>54</v>
      </c>
      <c r="E22" s="28">
        <f>K201</f>
        <v>32</v>
      </c>
      <c r="F22" s="15">
        <f>'Newtonus.Calculator.T Head.Pipe'!AR28</f>
        <v>32</v>
      </c>
      <c r="G22" s="118">
        <f>IF('Newtonus.Calculator.T Head.Pipe'!$AR$30="T",Tot.Head!$AH$71,IF('Newtonus.Calculator.T Head.Pipe'!$AR$30="Y",'Newtonus.Calculator.T Head.Pipe'!$AR$31,IF('Newtonus.Calculator.T Head.Pipe'!$AR$30="t",Tot.Head!$AH$71,IF('Newtonus.Calculator.T Head.Pipe'!$AR$30="y",'Newtonus.Calculator.T Head.Pipe'!$AR$31))))</f>
        <v>36</v>
      </c>
      <c r="H22" s="129">
        <f>IF('Newtonus.Calculator.T Head.Pipe'!AU27&lt;=0,0,IF('Newtonus.Calculator.T Head.Pipe'!AU27&gt;0,'Newtonus.Calculator.T Head.Pipe'!AU28,))</f>
        <v>0</v>
      </c>
      <c r="I22" s="118">
        <f>IF('Newtonus.Calculator.T Head.Pipe'!$AU$30="T",Tot.Head!$AH$87,IF('Newtonus.Calculator.T Head.Pipe'!$AU$30="Y",'Newtonus.Calculator.T Head.Pipe'!$AU$31,IF('Newtonus.Calculator.T Head.Pipe'!$AU$30="t",Tot.Head!$AH$87,IF('Newtonus.Calculator.T Head.Pipe'!$AU$30="y",'Newtonus.Calculator.T Head.Pipe'!$AU31))))</f>
        <v>0</v>
      </c>
      <c r="J22" s="129">
        <f>IF('Newtonus.Calculator.T Head.Pipe'!AX27&lt;=0,0,IF('Newtonus.Calculator.T Head.Pipe'!AX27&gt;0,'Newtonus.Calculator.T Head.Pipe'!AX28,))</f>
        <v>0</v>
      </c>
      <c r="K22" s="118">
        <f>IF('Newtonus.Calculator.T Head.Pipe'!$AX$30="T",Tot.Head!$AH$103,IF('Newtonus.Calculator.T Head.Pipe'!$AX$30="Y",'Newtonus.Calculator.T Head.Pipe'!$AX$31,IF('Newtonus.Calculator.T Head.Pipe'!$AX$30="t",Tot.Head!$AH$103,IF('Newtonus.Calculator.T Head.Pipe'!$AX$30="y",'Newtonus.Calculator.T Head.Pipe'!$AX$31))))</f>
        <v>0</v>
      </c>
      <c r="L22" s="113"/>
      <c r="M22" s="113"/>
      <c r="O22" s="84" t="s">
        <v>49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O22" s="87"/>
      <c r="AP22" s="87"/>
      <c r="AQ22" s="87"/>
      <c r="AR22" s="87"/>
    </row>
    <row r="23" spans="1:49" ht="9.9499999999999993" customHeight="1" x14ac:dyDescent="0.2">
      <c r="A23" s="604">
        <f>F23+H23+J23</f>
        <v>10</v>
      </c>
      <c r="B23" s="62"/>
      <c r="C23" s="27"/>
      <c r="D23" s="27" t="s">
        <v>63</v>
      </c>
      <c r="E23" s="28" t="s">
        <v>0</v>
      </c>
      <c r="F23" s="15">
        <f>'Newtonus.Calculator.T Head.Pipe'!AR11</f>
        <v>10</v>
      </c>
      <c r="G23" s="118" t="s">
        <v>23</v>
      </c>
      <c r="H23" s="129">
        <f>'Newtonus.Calculator.T Head.Pipe'!Y163</f>
        <v>0</v>
      </c>
      <c r="I23" s="129"/>
      <c r="J23" s="129">
        <f>'Newtonus.Calculator.T Head.Pipe'!Z164</f>
        <v>0</v>
      </c>
      <c r="K23" s="129"/>
      <c r="L23" s="113"/>
      <c r="M23" s="113"/>
      <c r="O23" s="31"/>
      <c r="P23" s="35"/>
      <c r="Q23" s="836" t="s">
        <v>47</v>
      </c>
      <c r="R23" s="832"/>
      <c r="S23" s="832"/>
      <c r="T23" s="832"/>
      <c r="U23" s="832"/>
      <c r="V23" s="832"/>
      <c r="W23" s="832"/>
      <c r="X23" s="832"/>
      <c r="Y23" s="832"/>
      <c r="Z23" s="832"/>
      <c r="AA23" s="832"/>
      <c r="AB23" s="832"/>
      <c r="AC23" s="832"/>
      <c r="AD23" s="832"/>
      <c r="AE23" s="832"/>
      <c r="AF23" s="832"/>
      <c r="AG23" s="832"/>
      <c r="AH23" s="832"/>
      <c r="AI23" s="832"/>
      <c r="AJ23" s="833"/>
      <c r="AO23" s="87"/>
      <c r="AP23" s="87"/>
      <c r="AQ23" s="87"/>
      <c r="AR23" s="87"/>
    </row>
    <row r="24" spans="1:49" ht="9.9499999999999993" customHeight="1" x14ac:dyDescent="0.2">
      <c r="A24" s="403"/>
      <c r="B24" s="62"/>
      <c r="C24" s="27"/>
      <c r="D24" s="27" t="s">
        <v>87</v>
      </c>
      <c r="E24" s="97">
        <f>F24</f>
        <v>119</v>
      </c>
      <c r="F24" s="97">
        <f>AH156</f>
        <v>119</v>
      </c>
      <c r="G24" s="144" t="str">
        <f>CHOOSE('Newtonus.Calculator.T Head.Pipe'!AR23,"Stainless S","Steel sch. 40","Galv iron","Copper","CI Uncoat-K12","PE Class-6","PVC Class-15")</f>
        <v>Galv iron</v>
      </c>
      <c r="H24" s="129">
        <f>AH175</f>
        <v>0</v>
      </c>
      <c r="I24" s="144" t="e">
        <f>CHOOSE('Newtonus.Calculator.T Head.Pipe'!AU23,"Stainless S","Steel sch. 40","Galv iron","Copper","CI Uncoat-K12","PE Class-6","PVC Class-15")</f>
        <v>#VALUE!</v>
      </c>
      <c r="J24" s="129">
        <f>AH194</f>
        <v>0</v>
      </c>
      <c r="K24" s="144" t="e">
        <f>CHOOSE('Newtonus.Calculator.T Head.Pipe'!AX23,"Stainless S","Steel sch. 40","Galv iron","Copper","CI Uncoat-K12","PE Class-6","PVC Class-15")</f>
        <v>#VALUE!</v>
      </c>
      <c r="L24" s="113"/>
      <c r="M24" s="113"/>
      <c r="O24" s="32" t="s">
        <v>39</v>
      </c>
      <c r="P24" s="33" t="s">
        <v>30</v>
      </c>
      <c r="Q24" s="14">
        <v>0</v>
      </c>
      <c r="R24" s="14">
        <v>10</v>
      </c>
      <c r="S24" s="14">
        <v>20</v>
      </c>
      <c r="T24" s="14">
        <v>30</v>
      </c>
      <c r="U24" s="14">
        <v>40</v>
      </c>
      <c r="V24" s="14">
        <v>50</v>
      </c>
      <c r="W24" s="14">
        <v>60</v>
      </c>
      <c r="X24" s="14">
        <v>70</v>
      </c>
      <c r="Y24" s="14">
        <v>80</v>
      </c>
      <c r="Z24" s="14">
        <v>90</v>
      </c>
      <c r="AA24" s="14">
        <v>100</v>
      </c>
      <c r="AB24" s="14">
        <v>110</v>
      </c>
      <c r="AC24" s="14">
        <v>120</v>
      </c>
      <c r="AD24" s="14">
        <v>130</v>
      </c>
      <c r="AE24" s="14">
        <v>140</v>
      </c>
      <c r="AF24" s="14">
        <v>150</v>
      </c>
      <c r="AG24" s="14">
        <v>160</v>
      </c>
      <c r="AH24" s="14">
        <v>170</v>
      </c>
      <c r="AI24" s="14">
        <v>180</v>
      </c>
      <c r="AJ24" s="14">
        <v>190</v>
      </c>
      <c r="AO24" s="87"/>
      <c r="AP24" s="87"/>
      <c r="AQ24" s="87"/>
      <c r="AR24" s="87"/>
    </row>
    <row r="25" spans="1:49" ht="9.9499999999999993" customHeight="1" x14ac:dyDescent="0.2">
      <c r="A25" s="403"/>
      <c r="B25" s="62"/>
      <c r="C25" s="27"/>
      <c r="D25" s="27" t="s">
        <v>1</v>
      </c>
      <c r="E25" s="28"/>
      <c r="F25" s="15"/>
      <c r="G25" s="119"/>
      <c r="H25" s="129"/>
      <c r="I25" s="129"/>
      <c r="J25" s="129"/>
      <c r="K25" s="129"/>
      <c r="L25" s="113"/>
      <c r="M25" s="113"/>
      <c r="O25" s="8"/>
      <c r="P25" s="8"/>
      <c r="Q25" s="11"/>
      <c r="R25" s="11" t="s">
        <v>1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M25" s="404" t="s">
        <v>27</v>
      </c>
      <c r="AN25" s="340"/>
      <c r="AO25" s="404" t="s">
        <v>235</v>
      </c>
      <c r="AP25" s="404"/>
      <c r="AQ25" s="404" t="s">
        <v>127</v>
      </c>
      <c r="AR25" s="404"/>
      <c r="AS25" s="404" t="s">
        <v>128</v>
      </c>
    </row>
    <row r="26" spans="1:49" ht="9.9499999999999993" customHeight="1" x14ac:dyDescent="0.2">
      <c r="A26" s="403"/>
      <c r="B26" s="62"/>
      <c r="C26" s="29" t="s">
        <v>25</v>
      </c>
      <c r="D26" s="27" t="s">
        <v>3</v>
      </c>
      <c r="E26" s="28" t="s">
        <v>0</v>
      </c>
      <c r="F26" s="92">
        <f>IF($E$22&lt;=80,U110,IF($E$22&lt;=450,V110,IF($E$22=600,W110,)))</f>
        <v>1.32</v>
      </c>
      <c r="G26" s="119">
        <f>'Newtonus.Calculator.T Head.Pipe'!AR41</f>
        <v>0</v>
      </c>
      <c r="H26" s="92">
        <f>IF($H$22&lt;=80,Z110,IF($H$22&lt;=450,AA110,IF($H$22=600,AB110,)))</f>
        <v>1.32</v>
      </c>
      <c r="I26" s="119">
        <f>'Newtonus.Calculator.T Head.Pipe'!AU41</f>
        <v>0</v>
      </c>
      <c r="J26" s="92">
        <f>IF($J$22&lt;=80,AD110,IF($J$22&lt;=450,AE110,IF($J$22=600,AF110,)))</f>
        <v>1.32</v>
      </c>
      <c r="K26" s="119">
        <f>'Newtonus.Calculator.T Head.Pipe'!AX41</f>
        <v>0</v>
      </c>
      <c r="L26" s="113"/>
      <c r="M26" s="113"/>
      <c r="O26" s="12" t="s">
        <v>1</v>
      </c>
      <c r="P26" s="13" t="s">
        <v>46</v>
      </c>
      <c r="Q26" s="13">
        <v>0</v>
      </c>
      <c r="R26" s="13">
        <f>0.01227*10.2</f>
        <v>0.12515399999999999</v>
      </c>
      <c r="S26" s="13">
        <f>0.02337*10.2</f>
        <v>0.23837399999999997</v>
      </c>
      <c r="T26" s="13">
        <f>0.04241*10.2</f>
        <v>0.43258200000000002</v>
      </c>
      <c r="U26" s="13">
        <f>0.07375*10.2</f>
        <v>0.75224999999999986</v>
      </c>
      <c r="V26" s="13">
        <f>0.12335*10.2</f>
        <v>1.25817</v>
      </c>
      <c r="W26" s="13">
        <f>0.1992*10.2</f>
        <v>2.0318399999999999</v>
      </c>
      <c r="X26" s="13">
        <f>0.3116*10.2</f>
        <v>3.1783199999999998</v>
      </c>
      <c r="Y26" s="13">
        <f>0.4736*10.2</f>
        <v>4.8307199999999995</v>
      </c>
      <c r="Z26" s="13">
        <f>0.7011*10.2</f>
        <v>7.1512199999999986</v>
      </c>
      <c r="AA26" s="13">
        <f>1.0133*10.2</f>
        <v>10.335660000000001</v>
      </c>
      <c r="AB26" s="13">
        <f>1.4327*10.2</f>
        <v>14.61354</v>
      </c>
      <c r="AC26" s="13">
        <f>1.9854*10.2</f>
        <v>20.251079999999998</v>
      </c>
      <c r="AD26" s="13">
        <f>2.7013*10.2</f>
        <v>27.553259999999995</v>
      </c>
      <c r="AE26" s="13">
        <f>3.614*10.2</f>
        <v>36.862799999999993</v>
      </c>
      <c r="AF26" s="13">
        <f>4.76*10.2</f>
        <v>48.551999999999992</v>
      </c>
      <c r="AG26" s="13">
        <f>6.181*10.2</f>
        <v>63.046199999999999</v>
      </c>
      <c r="AH26" s="13">
        <f>7.92*10.2</f>
        <v>80.783999999999992</v>
      </c>
      <c r="AI26" s="13">
        <f>10.027*10.2</f>
        <v>102.27539999999999</v>
      </c>
      <c r="AJ26" s="13">
        <f>12.551*10.2</f>
        <v>128.02019999999999</v>
      </c>
      <c r="AM26" s="404" t="str">
        <f>D26</f>
        <v>Tee</v>
      </c>
      <c r="AN26" s="340"/>
      <c r="AO26" s="404" t="str">
        <f t="shared" ref="AO26:AS30" si="4">IF(G26=0,"",IF(G26&gt;=1,F26,))</f>
        <v/>
      </c>
      <c r="AP26" s="404"/>
      <c r="AQ26" s="404" t="str">
        <f t="shared" si="4"/>
        <v/>
      </c>
      <c r="AR26" s="404"/>
      <c r="AS26" s="404" t="str">
        <f t="shared" si="4"/>
        <v/>
      </c>
    </row>
    <row r="27" spans="1:49" ht="9.9499999999999993" customHeight="1" x14ac:dyDescent="0.2">
      <c r="A27" s="403"/>
      <c r="B27" s="63" t="s">
        <v>1</v>
      </c>
      <c r="C27" s="29" t="s">
        <v>16</v>
      </c>
      <c r="D27" s="27" t="s">
        <v>45</v>
      </c>
      <c r="E27" s="28" t="s">
        <v>0</v>
      </c>
      <c r="F27" s="92">
        <f>IF($E$22&lt;=80,U109,IF($E$22&lt;=450,V109,IF($E$22=600,W109,)))</f>
        <v>0.66</v>
      </c>
      <c r="G27" s="119">
        <f>'Newtonus.Calculator.T Head.Pipe'!AR40</f>
        <v>2</v>
      </c>
      <c r="H27" s="92">
        <f>IF($H$22&lt;=80,Z109,IF($H$22&lt;=450,AA109,IF($H$22=600,AB109,)))</f>
        <v>0.66</v>
      </c>
      <c r="I27" s="119">
        <f>'Newtonus.Calculator.T Head.Pipe'!AU40</f>
        <v>1</v>
      </c>
      <c r="J27" s="92">
        <f>IF($J$22&lt;=80,AD109,IF($J$22&lt;=450,AE109,IF($J$22=600,AF109,)))</f>
        <v>0.66</v>
      </c>
      <c r="K27" s="119">
        <f>'Newtonus.Calculator.T Head.Pipe'!AX40</f>
        <v>1</v>
      </c>
      <c r="L27" s="113"/>
      <c r="M27" s="113"/>
      <c r="O27" s="34" t="s">
        <v>1</v>
      </c>
      <c r="P27" s="14" t="s">
        <v>1</v>
      </c>
      <c r="Q27" s="14" t="s">
        <v>1</v>
      </c>
      <c r="R27" s="14" t="s">
        <v>1</v>
      </c>
      <c r="S27" s="14"/>
      <c r="T27" s="14"/>
      <c r="U27" s="14"/>
      <c r="V27" s="14" t="s">
        <v>1</v>
      </c>
      <c r="W27" s="14" t="s">
        <v>1</v>
      </c>
      <c r="X27" s="14" t="s">
        <v>1</v>
      </c>
      <c r="Y27" s="14" t="s">
        <v>1</v>
      </c>
      <c r="Z27" s="14" t="s">
        <v>1</v>
      </c>
      <c r="AA27" s="14" t="s">
        <v>1</v>
      </c>
      <c r="AB27" s="14" t="s">
        <v>1</v>
      </c>
      <c r="AC27" s="14" t="s">
        <v>1</v>
      </c>
      <c r="AD27" s="14" t="s">
        <v>1</v>
      </c>
      <c r="AE27" s="14" t="s">
        <v>1</v>
      </c>
      <c r="AF27" s="14" t="s">
        <v>1</v>
      </c>
      <c r="AG27" s="14" t="s">
        <v>1</v>
      </c>
      <c r="AH27" s="14" t="s">
        <v>1</v>
      </c>
      <c r="AI27" s="14" t="s">
        <v>1</v>
      </c>
      <c r="AJ27" s="14" t="s">
        <v>1</v>
      </c>
      <c r="AM27" s="404" t="str">
        <f t="shared" ref="AM27:AM30" si="5">D27</f>
        <v>L Elbow 90o</v>
      </c>
      <c r="AN27" s="340"/>
      <c r="AO27" s="404">
        <f t="shared" si="4"/>
        <v>0.66</v>
      </c>
      <c r="AP27" s="404"/>
      <c r="AQ27" s="404">
        <f t="shared" si="4"/>
        <v>0.66</v>
      </c>
      <c r="AR27" s="404"/>
      <c r="AS27" s="404">
        <f t="shared" si="4"/>
        <v>0.66</v>
      </c>
    </row>
    <row r="28" spans="1:49" ht="9.9499999999999993" customHeight="1" x14ac:dyDescent="0.2">
      <c r="A28" s="403"/>
      <c r="B28" s="63"/>
      <c r="C28" s="29"/>
      <c r="D28" s="27" t="s">
        <v>37</v>
      </c>
      <c r="E28" s="28" t="s">
        <v>0</v>
      </c>
      <c r="F28" s="92">
        <f>IF($E$22&lt;=80,U107,IF($E$22&lt;=450,V107,IF($E$22=600,W107,)))</f>
        <v>0.86</v>
      </c>
      <c r="G28" s="119">
        <f>'Newtonus.Calculator.T Head.Pipe'!AR38</f>
        <v>0</v>
      </c>
      <c r="H28" s="92">
        <f>IF($H$22&lt;=80,Z107,IF($H$22&lt;=450,AA107,IF($H$22=600,AB107,)))</f>
        <v>0.86</v>
      </c>
      <c r="I28" s="119">
        <f>'Newtonus.Calculator.T Head.Pipe'!AU38</f>
        <v>0</v>
      </c>
      <c r="J28" s="92">
        <f>IF($J$22&lt;=80,AD107,IF($J$22&lt;=450,AE107,IF($J$22=600,AF107,)))</f>
        <v>0.86</v>
      </c>
      <c r="K28" s="119">
        <f>'Newtonus.Calculator.T Head.Pipe'!AX38</f>
        <v>0</v>
      </c>
      <c r="L28" s="113"/>
      <c r="M28" s="113"/>
      <c r="AM28" s="404" t="str">
        <f t="shared" si="5"/>
        <v>Butterfly valve</v>
      </c>
      <c r="AN28" s="340"/>
      <c r="AO28" s="404" t="str">
        <f t="shared" si="4"/>
        <v/>
      </c>
      <c r="AP28" s="404"/>
      <c r="AQ28" s="404" t="str">
        <f t="shared" si="4"/>
        <v/>
      </c>
      <c r="AR28" s="404"/>
      <c r="AS28" s="404" t="str">
        <f t="shared" si="4"/>
        <v/>
      </c>
    </row>
    <row r="29" spans="1:49" ht="9.9499999999999993" customHeight="1" x14ac:dyDescent="0.2">
      <c r="A29" s="403"/>
      <c r="B29" s="63"/>
      <c r="C29" s="29"/>
      <c r="D29" s="27" t="s">
        <v>24</v>
      </c>
      <c r="E29" s="28" t="s">
        <v>0</v>
      </c>
      <c r="F29" s="92">
        <f>IF($E$22&lt;=80,U108,IF($E$22&lt;=450,V108,IF($E$22=600,W108,)))</f>
        <v>1.1000000000000001</v>
      </c>
      <c r="G29" s="119">
        <f>'Newtonus.Calculator.T Head.Pipe'!AR39</f>
        <v>1</v>
      </c>
      <c r="H29" s="92">
        <f>IF($H$22&lt;=80,Z108,IF($H$22&lt;=450,AA108,IF($H$22=600,AB108,)))</f>
        <v>1.1000000000000001</v>
      </c>
      <c r="I29" s="119">
        <f>'Newtonus.Calculator.T Head.Pipe'!AU39</f>
        <v>0</v>
      </c>
      <c r="J29" s="92">
        <f>IF($J$22&lt;=80,AD108,IF($J$22&lt;=450,AE108,IF($J$22=600,AF108,)))</f>
        <v>1.1000000000000001</v>
      </c>
      <c r="K29" s="119">
        <f>'Newtonus.Calculator.T Head.Pipe'!AX39</f>
        <v>0</v>
      </c>
      <c r="L29" s="113"/>
      <c r="M29" s="113"/>
      <c r="AM29" s="404" t="str">
        <f t="shared" si="5"/>
        <v>Check Valve</v>
      </c>
      <c r="AN29" s="340"/>
      <c r="AO29" s="404">
        <f t="shared" si="4"/>
        <v>1.1000000000000001</v>
      </c>
      <c r="AP29" s="404"/>
      <c r="AQ29" s="404" t="str">
        <f t="shared" si="4"/>
        <v/>
      </c>
      <c r="AR29" s="404"/>
      <c r="AS29" s="404" t="str">
        <f t="shared" si="4"/>
        <v/>
      </c>
      <c r="AW29" t="str">
        <f>'Newtonus.Calculator.T Head.Pipe'!C162</f>
        <v>1 outlet pipe : Ld1</v>
      </c>
    </row>
    <row r="30" spans="1:49" ht="9.9499999999999993" customHeight="1" x14ac:dyDescent="0.2">
      <c r="A30" s="403"/>
      <c r="B30" s="63"/>
      <c r="C30" s="29"/>
      <c r="D30" s="27" t="s">
        <v>40</v>
      </c>
      <c r="E30" s="28" t="s">
        <v>0</v>
      </c>
      <c r="F30" s="92">
        <f>IF($E$22&lt;=80,U106,IF($E$22&lt;=450,V106,IF($E$22=600,W106,)))</f>
        <v>7.0000000000000007E-2</v>
      </c>
      <c r="G30" s="119">
        <f>'Newtonus.Calculator.T Head.Pipe'!AR37</f>
        <v>1</v>
      </c>
      <c r="H30" s="92">
        <f>IF($H$22&lt;=80,Z106,IF($H$22&lt;=450,AA106,IF($H$22=600,AB106,)))</f>
        <v>7.0000000000000007E-2</v>
      </c>
      <c r="I30" s="119">
        <f>'Newtonus.Calculator.T Head.Pipe'!AU37</f>
        <v>0</v>
      </c>
      <c r="J30" s="92">
        <f>IF($J$22&lt;=80,AD106,IF($J$22&lt;=450,AE106,IF($J$22=600,AF106,)))</f>
        <v>7.0000000000000007E-2</v>
      </c>
      <c r="K30" s="119">
        <f>'Newtonus.Calculator.T Head.Pipe'!AX37</f>
        <v>0</v>
      </c>
      <c r="L30" s="113"/>
      <c r="M30" s="113"/>
      <c r="P30" s="87" t="s">
        <v>82</v>
      </c>
      <c r="Q30" s="87"/>
      <c r="R30" s="87">
        <f>((('Newtonus.Calculator.T Head.Pipe'!$Y$15-Q24)*(R26))+((R24-'Newtonus.Calculator.T Head.Pipe'!$Y$15)*(Q26)))/((R24-'Newtonus.Calculator.T Head.Pipe'!$Y$15)+('Newtonus.Calculator.T Head.Pipe'!$Y$15-Q24))</f>
        <v>0.37546199999999996</v>
      </c>
      <c r="S30" s="87">
        <f>((('Newtonus.Calculator.T Head.Pipe'!$Y$15-R24)*(S26))+((S24-'Newtonus.Calculator.T Head.Pipe'!$Y$15)*(R26)))/((S24-'Newtonus.Calculator.T Head.Pipe'!$Y$15)+('Newtonus.Calculator.T Head.Pipe'!$Y$15-R24))</f>
        <v>0.35159399999999991</v>
      </c>
      <c r="T30" s="87">
        <f>((('Newtonus.Calculator.T Head.Pipe'!$Y$15-S24)*(T26))+((T24-'Newtonus.Calculator.T Head.Pipe'!$Y$15)*(S26)))/((T24-'Newtonus.Calculator.T Head.Pipe'!$Y$15)+('Newtonus.Calculator.T Head.Pipe'!$Y$15-S24))</f>
        <v>0.43258200000000002</v>
      </c>
      <c r="U30" s="87">
        <f>((('Newtonus.Calculator.T Head.Pipe'!$Y$15-T24)*(U26))+((U24-'Newtonus.Calculator.T Head.Pipe'!$Y$15)*(T26)))/((U24-'Newtonus.Calculator.T Head.Pipe'!$Y$15)+('Newtonus.Calculator.T Head.Pipe'!$Y$15-T24))</f>
        <v>0.43258200000000002</v>
      </c>
      <c r="V30" s="87">
        <f>((('Newtonus.Calculator.T Head.Pipe'!$Y$15-U24)*(V26))+((V24-'Newtonus.Calculator.T Head.Pipe'!$Y$15)*(U26)))/((V24-'Newtonus.Calculator.T Head.Pipe'!$Y$15)+('Newtonus.Calculator.T Head.Pipe'!$Y$15-U24))</f>
        <v>0.24632999999999985</v>
      </c>
      <c r="W30" s="87">
        <f>((('Newtonus.Calculator.T Head.Pipe'!$Y$15-V24)*(W26))+((W24-'Newtonus.Calculator.T Head.Pipe'!$Y$15)*(V26)))/((W24-'Newtonus.Calculator.T Head.Pipe'!$Y$15)+('Newtonus.Calculator.T Head.Pipe'!$Y$15-V24))</f>
        <v>-0.28916999999999932</v>
      </c>
      <c r="X30" s="87">
        <f>((('Newtonus.Calculator.T Head.Pipe'!$Y$15-W24)*(X26))+((X24-'Newtonus.Calculator.T Head.Pipe'!$Y$15)*(W26)))/((X24-'Newtonus.Calculator.T Head.Pipe'!$Y$15)+('Newtonus.Calculator.T Head.Pipe'!$Y$15-W24))</f>
        <v>-1.4076000000000009</v>
      </c>
      <c r="Y30" s="87">
        <f>((('Newtonus.Calculator.T Head.Pipe'!$Y$15-X24)*(Y26))+((Y24-'Newtonus.Calculator.T Head.Pipe'!$Y$15)*(X26)))/((Y24-'Newtonus.Calculator.T Head.Pipe'!$Y$15)+('Newtonus.Calculator.T Head.Pipe'!$Y$15-X24))</f>
        <v>-3.4312799999999983</v>
      </c>
      <c r="Z30" s="87">
        <f>((('Newtonus.Calculator.T Head.Pipe'!$Y$15-Y24)*(Z26))+((Z24-'Newtonus.Calculator.T Head.Pipe'!$Y$15)*(Y26)))/((Z24-'Newtonus.Calculator.T Head.Pipe'!$Y$15)+('Newtonus.Calculator.T Head.Pipe'!$Y$15-Y24))</f>
        <v>-6.7717799999999952</v>
      </c>
      <c r="AA30" s="87">
        <f>((('Newtonus.Calculator.T Head.Pipe'!$Y$15-Z24)*(AA26))+((AA24-'Newtonus.Calculator.T Head.Pipe'!$Y$15)*(Z26)))/((AA24-'Newtonus.Calculator.T Head.Pipe'!$Y$15)+('Newtonus.Calculator.T Head.Pipe'!$Y$15-Z24))</f>
        <v>-11.955420000000021</v>
      </c>
      <c r="AB30" s="87">
        <f>((('Newtonus.Calculator.T Head.Pipe'!$Y$15-AA24)*(AB26))+((AB24-'Newtonus.Calculator.T Head.Pipe'!$Y$15)*(AA26)))/((AB24-'Newtonus.Calculator.T Head.Pipe'!$Y$15)+('Newtonus.Calculator.T Head.Pipe'!$Y$15-AA24))</f>
        <v>-19.60949999999999</v>
      </c>
      <c r="AC30" s="87">
        <f>((('Newtonus.Calculator.T Head.Pipe'!$Y$15-AB24)*(AC26))+((AC24-'Newtonus.Calculator.T Head.Pipe'!$Y$15)*(AB26)))/((AC24-'Newtonus.Calculator.T Head.Pipe'!$Y$15)+('Newtonus.Calculator.T Head.Pipe'!$Y$15-AB24))</f>
        <v>-30.486779999999975</v>
      </c>
      <c r="AD30" s="87">
        <f>((('Newtonus.Calculator.T Head.Pipe'!$Y$15-AC24)*(AD26))+((AD24-'Newtonus.Calculator.T Head.Pipe'!$Y$15)*(AC26)))/((AD24-'Newtonus.Calculator.T Head.Pipe'!$Y$15)+('Newtonus.Calculator.T Head.Pipe'!$Y$15-AC24))</f>
        <v>-45.468539999999983</v>
      </c>
      <c r="AE30" s="87">
        <f>((('Newtonus.Calculator.T Head.Pipe'!$Y$15-AD24)*(AE26))+((AE24-'Newtonus.Calculator.T Head.Pipe'!$Y$15)*(AD26)))/((AE24-'Newtonus.Calculator.T Head.Pipe'!$Y$15)+('Newtonus.Calculator.T Head.Pipe'!$Y$15-AD24))</f>
        <v>-65.542139999999975</v>
      </c>
      <c r="AF30" s="87">
        <f>((('Newtonus.Calculator.T Head.Pipe'!$Y$15-AE24)*(AF26))+((AF24-'Newtonus.Calculator.T Head.Pipe'!$Y$15)*(AE26)))/((AF24-'Newtonus.Calculator.T Head.Pipe'!$Y$15)+('Newtonus.Calculator.T Head.Pipe'!$Y$15-AE24))</f>
        <v>-91.718400000000017</v>
      </c>
      <c r="AG30" s="87">
        <f>((('Newtonus.Calculator.T Head.Pipe'!$Y$15-AF24)*(AG26))+((AG24-'Newtonus.Calculator.T Head.Pipe'!$Y$15)*(AF26)))/((AG24-'Newtonus.Calculator.T Head.Pipe'!$Y$15)+('Newtonus.Calculator.T Head.Pipe'!$Y$15-AF24))</f>
        <v>-125.37840000000006</v>
      </c>
      <c r="AH30" s="87">
        <f>((('Newtonus.Calculator.T Head.Pipe'!$Y$15-AG24)*(AH26))+((AH24-'Newtonus.Calculator.T Head.Pipe'!$Y$15)*(AG26)))/((AH24-'Newtonus.Calculator.T Head.Pipe'!$Y$15)+('Newtonus.Calculator.T Head.Pipe'!$Y$15-AG24))</f>
        <v>-167.54519999999974</v>
      </c>
      <c r="AI30" s="87">
        <f>((('Newtonus.Calculator.T Head.Pipe'!$Y$15-AH24)*(AI26))+((AI24-'Newtonus.Calculator.T Head.Pipe'!$Y$15)*(AH26)))/((AI24-'Newtonus.Calculator.T Head.Pipe'!$Y$15)+('Newtonus.Calculator.T Head.Pipe'!$Y$15-AH24))</f>
        <v>-220.09560000000002</v>
      </c>
      <c r="AJ30" s="87">
        <f>((('Newtonus.Calculator.T Head.Pipe'!$Y$15-AI24)*(AJ26))+((AJ24-'Newtonus.Calculator.T Head.Pipe'!$Y$15)*(AI26)))/((AJ24-'Newtonus.Calculator.T Head.Pipe'!$Y$15)+('Newtonus.Calculator.T Head.Pipe'!$Y$15-AI24))</f>
        <v>-283.89660000000003</v>
      </c>
      <c r="AM30" s="404" t="str">
        <f t="shared" si="5"/>
        <v>Ball Valve</v>
      </c>
      <c r="AN30" s="340"/>
      <c r="AO30" s="404">
        <f t="shared" si="4"/>
        <v>7.0000000000000007E-2</v>
      </c>
      <c r="AP30" s="404"/>
      <c r="AQ30" s="404" t="str">
        <f t="shared" si="4"/>
        <v/>
      </c>
      <c r="AR30" s="404"/>
      <c r="AS30" s="404" t="str">
        <f t="shared" si="4"/>
        <v/>
      </c>
      <c r="AW30" t="str">
        <f>'Newtonus.Calculator.T Head.Pipe'!C163</f>
        <v>2 of series outlet pipe : Ld1+Ld2</v>
      </c>
    </row>
    <row r="31" spans="1:49" ht="9.75" customHeight="1" x14ac:dyDescent="0.2">
      <c r="A31" s="403"/>
      <c r="B31" s="59"/>
      <c r="C31" s="18"/>
      <c r="D31" s="18" t="s">
        <v>84</v>
      </c>
      <c r="E31" s="95" t="s">
        <v>81</v>
      </c>
      <c r="F31" s="12">
        <f>O35</f>
        <v>30</v>
      </c>
      <c r="G31" s="71"/>
      <c r="H31" s="143">
        <f>IF('Newtonus.Calculator.T Head.Pipe'!AU23&lt;=0,0,IF('Newtonus.Calculator.T Head.Pipe'!AU23&gt;0,AM72,))</f>
        <v>0</v>
      </c>
      <c r="I31" s="129">
        <f>IF('Newtonus.Calculator.T Head.Pipe'!AU9=0,0,IF('Newtonus.Calculator.T Head.Pipe'!AU9&gt;0,1,))</f>
        <v>0</v>
      </c>
      <c r="J31" s="143">
        <f>IF('Newtonus.Calculator.T Head.Pipe'!AX23&lt;=0,0,IF('Newtonus.Calculator.T Head.Pipe'!AX23&gt;0,AM73,))</f>
        <v>0</v>
      </c>
      <c r="K31" s="129">
        <f>IF('Newtonus.Calculator.T Head.Pipe'!AX9=0,0,IF('Newtonus.Calculator.T Head.Pipe'!AX9&gt;0,1,))</f>
        <v>0</v>
      </c>
      <c r="L31" s="113"/>
      <c r="M31" s="113"/>
      <c r="AW31" t="str">
        <f>'Newtonus.Calculator.T Head.Pipe'!C164</f>
        <v>3 of series outlet pipe : Ld1+Ld2+Ld3</v>
      </c>
    </row>
    <row r="32" spans="1:49" ht="9.9499999999999993" customHeight="1" x14ac:dyDescent="0.2">
      <c r="A32" s="403"/>
      <c r="B32" s="66"/>
      <c r="C32" s="20" t="s">
        <v>49</v>
      </c>
      <c r="D32" s="20" t="s">
        <v>83</v>
      </c>
      <c r="E32" s="78" t="s">
        <v>0</v>
      </c>
      <c r="F32" s="94">
        <f>R34</f>
        <v>0.43258200000000002</v>
      </c>
      <c r="G32" s="120" t="s">
        <v>23</v>
      </c>
      <c r="H32" s="129"/>
      <c r="I32" s="129"/>
      <c r="J32" s="129"/>
      <c r="K32" s="129"/>
      <c r="L32" s="113"/>
      <c r="M32" s="113"/>
      <c r="Q32" s="87" t="s">
        <v>1</v>
      </c>
      <c r="R32" s="87">
        <f>IF($O$35=Q24,0,(IF($O$35&lt;Q24,0,IF($O$35&gt;R24,0,IF($O$35&gt;=Q24,R30,IF($O$35&lt;=R24,R30))))))</f>
        <v>0</v>
      </c>
      <c r="S32" s="87">
        <f>IF($O$35=R24,0,(IF($O$35&lt;R24,0,IF($O$35&gt;S24,0,IF($O$35&gt;=R24,S30,IF($O$35&lt;=S24,S30))))))</f>
        <v>0</v>
      </c>
      <c r="T32" s="87">
        <f>IF($O$35=S24,0,(IF($O$35&lt;S24,0,IF($O$35&gt;T24,0,IF($O$35&gt;=S24,T30,IF($O$35&lt;=T24,T30))))))</f>
        <v>0.43258200000000002</v>
      </c>
      <c r="U32" s="87">
        <f t="shared" ref="U32:AJ32" si="6">IF($O$35=T24,0,(IF($O$35&lt;T24,0,IF($O$35&gt;U24,0,IF($O$35&gt;=T24,U30,IF($O$35&lt;=U24,U30))))))</f>
        <v>0</v>
      </c>
      <c r="V32" s="87">
        <f t="shared" si="6"/>
        <v>0</v>
      </c>
      <c r="W32" s="87">
        <f t="shared" si="6"/>
        <v>0</v>
      </c>
      <c r="X32" s="87">
        <f t="shared" si="6"/>
        <v>0</v>
      </c>
      <c r="Y32" s="87">
        <f t="shared" si="6"/>
        <v>0</v>
      </c>
      <c r="Z32" s="87">
        <f t="shared" si="6"/>
        <v>0</v>
      </c>
      <c r="AA32" s="87">
        <f t="shared" si="6"/>
        <v>0</v>
      </c>
      <c r="AB32" s="87">
        <f t="shared" si="6"/>
        <v>0</v>
      </c>
      <c r="AC32" s="87">
        <f t="shared" si="6"/>
        <v>0</v>
      </c>
      <c r="AD32" s="87">
        <f t="shared" si="6"/>
        <v>0</v>
      </c>
      <c r="AE32" s="87">
        <f t="shared" si="6"/>
        <v>0</v>
      </c>
      <c r="AF32" s="87">
        <f t="shared" si="6"/>
        <v>0</v>
      </c>
      <c r="AG32" s="87">
        <f t="shared" si="6"/>
        <v>0</v>
      </c>
      <c r="AH32" s="87">
        <f t="shared" si="6"/>
        <v>0</v>
      </c>
      <c r="AI32" s="87">
        <f t="shared" si="6"/>
        <v>0</v>
      </c>
      <c r="AJ32" s="87">
        <f t="shared" si="6"/>
        <v>0</v>
      </c>
      <c r="AW32" t="str">
        <f>'Newtonus.Calculator.T Head.Pipe'!C165</f>
        <v>Loop system at outlet pipe : Ld1+Ld2+Ld3</v>
      </c>
    </row>
    <row r="33" spans="1:53" ht="6.75" customHeight="1" x14ac:dyDescent="0.2">
      <c r="A33" s="403"/>
      <c r="B33" s="59"/>
      <c r="C33" s="18"/>
      <c r="D33" s="18"/>
      <c r="E33" s="12"/>
      <c r="F33" s="5"/>
      <c r="G33" s="71"/>
      <c r="H33" s="129"/>
      <c r="I33" s="129"/>
      <c r="J33" s="129"/>
      <c r="K33" s="129"/>
      <c r="L33" s="113"/>
      <c r="M33" s="113"/>
      <c r="AW33" t="str">
        <f>'Newtonus.Calculator.T Head.Pipe'!C166</f>
        <v>Trial 1-loop/Branch 1, 3 pipe : Ld1+Ld2+Ld3</v>
      </c>
    </row>
    <row r="34" spans="1:53" ht="12" customHeight="1" x14ac:dyDescent="0.2">
      <c r="A34" s="403"/>
      <c r="B34" s="66"/>
      <c r="C34" s="20"/>
      <c r="D34" s="20" t="s">
        <v>55</v>
      </c>
      <c r="E34" s="78" t="s">
        <v>0</v>
      </c>
      <c r="F34" s="79">
        <f>IF('Newtonus.Calculator.T Head.Pipe'!G18=7,0,IF('Newtonus.Calculator.T Head.Pipe'!G18=6,-'Newtonus.Calculator.T Head.Pipe'!AR19,IF('Newtonus.Calculator.T Head.Pipe'!G18=4,-'Newtonus.Calculator.T Head.Pipe'!AR19,IF('Newtonus.Calculator.T Head.Pipe'!G18&lt;4,'Newtonus.Calculator.T Head.Pipe'!AR19,IF('Newtonus.Calculator.T Head.Pipe'!G18&gt;4,'Newtonus.Calculator.T Head.Pipe'!AR19,IF('Newtonus.Calculator.T Head.Pipe'!G18&lt;=0,0,))))))</f>
        <v>10</v>
      </c>
      <c r="G34" s="120" t="s">
        <v>23</v>
      </c>
      <c r="H34" s="129"/>
      <c r="I34" s="129"/>
      <c r="J34" s="129"/>
      <c r="K34" s="129"/>
      <c r="L34" s="113"/>
      <c r="M34" s="113"/>
      <c r="R34" s="87">
        <f>SUM(R32:AJ32)</f>
        <v>0.43258200000000002</v>
      </c>
      <c r="S34" s="87" t="s">
        <v>1</v>
      </c>
      <c r="T34" s="87" t="s">
        <v>1</v>
      </c>
      <c r="U34" s="87" t="s">
        <v>1</v>
      </c>
      <c r="V34" s="87" t="s">
        <v>1</v>
      </c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W34" t="str">
        <f>'Newtonus.Calculator.T Head.Pipe'!C167</f>
        <v>Trial 2-loop/Branch 2, 3 pipe : Ld1+Ld2+Ld31</v>
      </c>
    </row>
    <row r="35" spans="1:53" ht="12.75" customHeight="1" thickBot="1" x14ac:dyDescent="0.25">
      <c r="A35" s="403"/>
      <c r="B35" s="80"/>
      <c r="C35" s="81"/>
      <c r="D35" s="81" t="s">
        <v>66</v>
      </c>
      <c r="E35" s="82" t="s">
        <v>0</v>
      </c>
      <c r="F35" s="83">
        <f>IF('Newtonus.Calculator.T Head.Pipe'!G18=8,'Newtonus.Calculator.T Head.Pipe'!AR17,IF('Newtonus.Calculator.T Head.Pipe'!G18=7,0,IF('Newtonus.Calculator.T Head.Pipe'!G18&lt;7,'Newtonus.Calculator.T Head.Pipe'!AR17,)))</f>
        <v>5</v>
      </c>
      <c r="G35" s="122" t="s">
        <v>23</v>
      </c>
      <c r="H35" s="130"/>
      <c r="I35" s="130"/>
      <c r="J35" s="130"/>
      <c r="K35" s="130"/>
      <c r="L35" s="113"/>
      <c r="M35" s="113"/>
      <c r="O35" s="87">
        <f>'Newtonus.Calculator.T Head.Pipe'!Y15</f>
        <v>30</v>
      </c>
      <c r="P35" s="96" t="s">
        <v>85</v>
      </c>
      <c r="AW35" t="str">
        <f>'Newtonus.Calculator.T Head.Pipe'!C168</f>
        <v>Trial 3-loop/Branch 3, 2 pipe : Ld1+Ld21</v>
      </c>
    </row>
    <row r="36" spans="1:53" ht="11.1" customHeight="1" thickBot="1" x14ac:dyDescent="0.25">
      <c r="A36" s="53"/>
      <c r="B36" s="18"/>
      <c r="C36" s="18"/>
      <c r="D36" s="18"/>
      <c r="E36" s="19"/>
      <c r="F36" s="71"/>
      <c r="G36" s="71"/>
      <c r="H36" s="113"/>
      <c r="I36" s="113"/>
      <c r="J36" s="113"/>
      <c r="K36" s="113"/>
      <c r="L36" s="113"/>
      <c r="M36" s="113"/>
      <c r="O36" s="87" t="s">
        <v>26</v>
      </c>
    </row>
    <row r="37" spans="1:53" ht="18" customHeight="1" thickBot="1" x14ac:dyDescent="0.25">
      <c r="A37" s="58" t="s">
        <v>1</v>
      </c>
      <c r="B37" s="820" t="s">
        <v>56</v>
      </c>
      <c r="C37" s="820"/>
      <c r="D37" s="820"/>
      <c r="E37" s="820"/>
      <c r="F37" s="820"/>
      <c r="G37" s="820"/>
      <c r="H37" s="113"/>
      <c r="I37" s="113"/>
      <c r="J37" s="113"/>
      <c r="K37" s="113"/>
      <c r="L37" s="113"/>
      <c r="M37" s="113"/>
      <c r="N37" s="1"/>
      <c r="O37" s="99">
        <v>1</v>
      </c>
      <c r="P37" s="100" t="s">
        <v>94</v>
      </c>
      <c r="Q37" s="106" t="b">
        <f>IF('Newtonus.Calculator.T Head.Pipe'!$G$24=1,Tot.Head!Q3)</f>
        <v>0</v>
      </c>
      <c r="R37" s="106" t="b">
        <f>IF('Newtonus.Calculator.T Head.Pipe'!$G$24=2,Tot.Head!R3)</f>
        <v>0</v>
      </c>
      <c r="S37" s="106">
        <f>IF('Newtonus.Calculator.T Head.Pipe'!$G$24=3,Tot.Head!S3)</f>
        <v>23</v>
      </c>
      <c r="T37" s="106" t="b">
        <f>IF('Newtonus.Calculator.T Head.Pipe'!$G$24=4,Tot.Head!T3)</f>
        <v>0</v>
      </c>
      <c r="U37" s="106" t="b">
        <f>IF('Newtonus.Calculator.T Head.Pipe'!$G$24=5,Tot.Head!U3)</f>
        <v>0</v>
      </c>
      <c r="V37" s="106" t="b">
        <f>IF('Newtonus.Calculator.T Head.Pipe'!$G$24=6,Tot.Head!V3)</f>
        <v>0</v>
      </c>
      <c r="W37" s="106" t="b">
        <f>IF('Newtonus.Calculator.T Head.Pipe'!$G$24=7,Tot.Head!W3)</f>
        <v>0</v>
      </c>
      <c r="X37" s="106" t="b">
        <f>IF('Newtonus.Calculator.T Head.Pipe'!$G$24=8,Tot.Head!X3)</f>
        <v>0</v>
      </c>
      <c r="Y37" s="106" t="b">
        <f>IF('Newtonus.Calculator.T Head.Pipe'!$G$24=9,Tot.Head!Y3)</f>
        <v>0</v>
      </c>
      <c r="Z37" s="106" t="b">
        <f>IF('Newtonus.Calculator.T Head.Pipe'!$G$24=10,Tot.Head!Z3)</f>
        <v>0</v>
      </c>
      <c r="AA37" s="106" t="b">
        <f>IF('Newtonus.Calculator.T Head.Pipe'!$G$24=11,Tot.Head!AA3)</f>
        <v>0</v>
      </c>
      <c r="AB37" s="106" t="b">
        <f>IF('Newtonus.Calculator.T Head.Pipe'!$G$24=12,Tot.Head!AB3)</f>
        <v>0</v>
      </c>
      <c r="AC37" s="106" t="b">
        <f>IF('Newtonus.Calculator.T Head.Pipe'!$G$24=13,Tot.Head!AC3)</f>
        <v>0</v>
      </c>
      <c r="AD37" s="106" t="b">
        <f>IF('Newtonus.Calculator.T Head.Pipe'!$G$24=14,Tot.Head!AD3)</f>
        <v>0</v>
      </c>
      <c r="AE37" s="106" t="b">
        <f>IF('Newtonus.Calculator.T Head.Pipe'!$G$24=15,Tot.Head!AE3)</f>
        <v>0</v>
      </c>
      <c r="AF37" s="106" t="b">
        <f>IF('Newtonus.Calculator.T Head.Pipe'!$G$24=16,Tot.Head!AF3)</f>
        <v>0</v>
      </c>
      <c r="AG37" s="106" t="b">
        <f>IF('Newtonus.Calculator.T Head.Pipe'!$G$24=17,Tot.Head!AG3)</f>
        <v>0</v>
      </c>
      <c r="AH37" s="87"/>
      <c r="AI37" s="87"/>
      <c r="AJ37" s="87"/>
      <c r="AW37" t="str">
        <f>'Newtonus.Calculator.T Head.Pipe'!C16</f>
        <v>1 outlet pipe : Ld1</v>
      </c>
    </row>
    <row r="38" spans="1:53" ht="9.9499999999999993" customHeight="1" x14ac:dyDescent="0.2">
      <c r="A38" s="36"/>
      <c r="B38" s="56" t="s">
        <v>1</v>
      </c>
      <c r="C38" s="16"/>
      <c r="D38" s="16" t="s">
        <v>1</v>
      </c>
      <c r="E38" s="43" t="s">
        <v>28</v>
      </c>
      <c r="F38" s="43" t="s">
        <v>26</v>
      </c>
      <c r="G38" s="44" t="s">
        <v>27</v>
      </c>
      <c r="H38" s="43" t="s">
        <v>26</v>
      </c>
      <c r="I38" s="44" t="s">
        <v>27</v>
      </c>
      <c r="J38" s="43" t="s">
        <v>26</v>
      </c>
      <c r="K38" s="44" t="s">
        <v>27</v>
      </c>
      <c r="L38" s="113"/>
      <c r="M38" s="113"/>
      <c r="O38" s="99">
        <v>2</v>
      </c>
      <c r="P38" s="100" t="s">
        <v>103</v>
      </c>
      <c r="Q38" s="106" t="b">
        <f>IF('Newtonus.Calculator.T Head.Pipe'!$G$24=1,Tot.Head!Q4)</f>
        <v>0</v>
      </c>
      <c r="R38" s="106" t="b">
        <f>IF('Newtonus.Calculator.T Head.Pipe'!$G$24=2,Tot.Head!R4)</f>
        <v>0</v>
      </c>
      <c r="S38" s="106">
        <f>IF('Newtonus.Calculator.T Head.Pipe'!$G$24=3,Tot.Head!S4)</f>
        <v>26.6</v>
      </c>
      <c r="T38" s="106" t="b">
        <f>IF('Newtonus.Calculator.T Head.Pipe'!$G$24=4,Tot.Head!T4)</f>
        <v>0</v>
      </c>
      <c r="U38" s="106" t="b">
        <f>IF('Newtonus.Calculator.T Head.Pipe'!$G$24=5,Tot.Head!U4)</f>
        <v>0</v>
      </c>
      <c r="V38" s="106" t="b">
        <f>IF('Newtonus.Calculator.T Head.Pipe'!$G$24=6,Tot.Head!V4)</f>
        <v>0</v>
      </c>
      <c r="W38" s="106" t="b">
        <f>IF('Newtonus.Calculator.T Head.Pipe'!$G$24=7,Tot.Head!W4)</f>
        <v>0</v>
      </c>
      <c r="X38" s="106" t="b">
        <f>IF('Newtonus.Calculator.T Head.Pipe'!$G$24=8,Tot.Head!X4)</f>
        <v>0</v>
      </c>
      <c r="Y38" s="106" t="b">
        <f>IF('Newtonus.Calculator.T Head.Pipe'!$G$24=9,Tot.Head!Y4)</f>
        <v>0</v>
      </c>
      <c r="Z38" s="106" t="b">
        <f>IF('Newtonus.Calculator.T Head.Pipe'!$G$24=10,Tot.Head!Z4)</f>
        <v>0</v>
      </c>
      <c r="AA38" s="106" t="b">
        <f>IF('Newtonus.Calculator.T Head.Pipe'!$G$24=11,Tot.Head!AA4)</f>
        <v>0</v>
      </c>
      <c r="AB38" s="106" t="b">
        <f>IF('Newtonus.Calculator.T Head.Pipe'!$G$24=12,Tot.Head!AB4)</f>
        <v>0</v>
      </c>
      <c r="AC38" s="106" t="b">
        <f>IF('Newtonus.Calculator.T Head.Pipe'!$G$24=13,Tot.Head!AC4)</f>
        <v>0</v>
      </c>
      <c r="AD38" s="106" t="b">
        <f>IF('Newtonus.Calculator.T Head.Pipe'!$G$24=14,Tot.Head!AD4)</f>
        <v>0</v>
      </c>
      <c r="AE38" s="106" t="b">
        <f>IF('Newtonus.Calculator.T Head.Pipe'!$G$24=15,Tot.Head!AE4)</f>
        <v>0</v>
      </c>
      <c r="AF38" s="106" t="b">
        <f>IF('Newtonus.Calculator.T Head.Pipe'!$G$24=16,Tot.Head!AF4)</f>
        <v>0</v>
      </c>
      <c r="AG38" s="106" t="b">
        <f>IF('Newtonus.Calculator.T Head.Pipe'!$G$24=17,Tot.Head!AG4)</f>
        <v>0</v>
      </c>
      <c r="AH38" s="87"/>
      <c r="AI38" s="87"/>
      <c r="AJ38" s="87"/>
      <c r="AM38" s="43" t="s">
        <v>26</v>
      </c>
      <c r="AN38" s="44" t="s">
        <v>27</v>
      </c>
      <c r="AW38" s="44" t="s">
        <v>27</v>
      </c>
      <c r="AX38" s="43" t="s">
        <v>26</v>
      </c>
      <c r="AY38" s="44" t="s">
        <v>27</v>
      </c>
      <c r="AZ38" s="43" t="s">
        <v>26</v>
      </c>
      <c r="BA38" s="44" t="s">
        <v>27</v>
      </c>
    </row>
    <row r="39" spans="1:53" ht="9.9499999999999993" customHeight="1" x14ac:dyDescent="0.2">
      <c r="A39" s="54" t="s">
        <v>1</v>
      </c>
      <c r="B39" s="54"/>
      <c r="C39" s="55"/>
      <c r="D39" s="18" t="s">
        <v>32</v>
      </c>
      <c r="E39" s="12" t="s">
        <v>0</v>
      </c>
      <c r="F39" s="72">
        <f>SUM((((3.35*(10)^6*$F$8))/(($G$10)^2.63*$F$13))^1.852)/100*$F$12</f>
        <v>1.6943124307922783</v>
      </c>
      <c r="G39" s="127">
        <f>SUM((((3.35*(10)^6*F$8))/((G$22)^2.63*F$24))^1.852)/100*F$23</f>
        <v>0.84006776911686243</v>
      </c>
      <c r="H39" s="124"/>
      <c r="I39" s="127">
        <f>IF('Newtonus.Calculator.T Head.Pipe'!AU23&lt;=0,0,IF('Newtonus.Calculator.T Head.Pipe'!AU23&gt;0,SUM((((3.35*(10)^6*H$8))/((I$22)^2.63*H$24))^1.852)/100*H$23,))</f>
        <v>0</v>
      </c>
      <c r="J39" s="124"/>
      <c r="K39" s="136">
        <f>IF('Newtonus.Calculator.T Head.Pipe'!AX23&lt;=0,0,IF('Newtonus.Calculator.T Head.Pipe'!AX23&gt;0,SUM((((3.35*(10)^6*J$8))/((K$22)^2.63*J$24))^1.852)/100*J$23,))</f>
        <v>0</v>
      </c>
      <c r="L39" s="113"/>
      <c r="M39" s="113"/>
      <c r="N39" s="7"/>
      <c r="O39" s="99">
        <v>3</v>
      </c>
      <c r="P39" s="100" t="s">
        <v>102</v>
      </c>
      <c r="Q39" s="106" t="b">
        <f>IF('Newtonus.Calculator.T Head.Pipe'!$G$24=1,Tot.Head!Q5)</f>
        <v>0</v>
      </c>
      <c r="R39" s="106" t="b">
        <f>IF('Newtonus.Calculator.T Head.Pipe'!$G$24=2,Tot.Head!R5)</f>
        <v>0</v>
      </c>
      <c r="S39" s="106">
        <f>IF('Newtonus.Calculator.T Head.Pipe'!$G$24=3,Tot.Head!S5)</f>
        <v>27.3</v>
      </c>
      <c r="T39" s="106" t="b">
        <f>IF('Newtonus.Calculator.T Head.Pipe'!$G$24=4,Tot.Head!T5)</f>
        <v>0</v>
      </c>
      <c r="U39" s="106" t="b">
        <f>IF('Newtonus.Calculator.T Head.Pipe'!$G$24=5,Tot.Head!U5)</f>
        <v>0</v>
      </c>
      <c r="V39" s="106" t="b">
        <f>IF('Newtonus.Calculator.T Head.Pipe'!$G$24=6,Tot.Head!V5)</f>
        <v>0</v>
      </c>
      <c r="W39" s="106" t="b">
        <f>IF('Newtonus.Calculator.T Head.Pipe'!$G$24=7,Tot.Head!W5)</f>
        <v>0</v>
      </c>
      <c r="X39" s="106" t="b">
        <f>IF('Newtonus.Calculator.T Head.Pipe'!$G$24=8,Tot.Head!X5)</f>
        <v>0</v>
      </c>
      <c r="Y39" s="106" t="b">
        <f>IF('Newtonus.Calculator.T Head.Pipe'!$G$24=9,Tot.Head!Y5)</f>
        <v>0</v>
      </c>
      <c r="Z39" s="106" t="b">
        <f>IF('Newtonus.Calculator.T Head.Pipe'!$G$24=10,Tot.Head!Z5)</f>
        <v>0</v>
      </c>
      <c r="AA39" s="106" t="b">
        <f>IF('Newtonus.Calculator.T Head.Pipe'!$G$24=11,Tot.Head!AA5)</f>
        <v>0</v>
      </c>
      <c r="AB39" s="106" t="b">
        <f>IF('Newtonus.Calculator.T Head.Pipe'!$G$24=12,Tot.Head!AB5)</f>
        <v>0</v>
      </c>
      <c r="AC39" s="106" t="b">
        <f>IF('Newtonus.Calculator.T Head.Pipe'!$G$24=13,Tot.Head!AC5)</f>
        <v>0</v>
      </c>
      <c r="AD39" s="106" t="b">
        <f>IF('Newtonus.Calculator.T Head.Pipe'!$G$24=14,Tot.Head!AD5)</f>
        <v>0</v>
      </c>
      <c r="AE39" s="106" t="b">
        <f>IF('Newtonus.Calculator.T Head.Pipe'!$G$24=15,Tot.Head!AE5)</f>
        <v>0</v>
      </c>
      <c r="AF39" s="106" t="b">
        <f>IF('Newtonus.Calculator.T Head.Pipe'!$G$24=16,Tot.Head!AF5)</f>
        <v>0</v>
      </c>
      <c r="AG39" s="106" t="b">
        <f>IF('Newtonus.Calculator.T Head.Pipe'!$G$24=17,Tot.Head!AG5)</f>
        <v>0</v>
      </c>
      <c r="AH39" s="87"/>
      <c r="AI39" s="87"/>
      <c r="AJ39" s="87"/>
      <c r="AM39" s="72">
        <f>SUM((((3.35*(10)^6*$F$8))/(($G$10)^2.63*$E$13))^1.852)/100*$F$12</f>
        <v>1.6943124307922783</v>
      </c>
      <c r="AN39" s="40">
        <f>SUM((((3.35*(10)^6*$F$8))/(($G$22)^2.63*$E$24))^1.852)/100*$F$23</f>
        <v>0.84006776911686243</v>
      </c>
      <c r="AT39" s="98">
        <f>F39*(0+('Newtonus.Calculator.T Head.Pipe'!$AR$35/100))</f>
        <v>2.5414686461884177E-3</v>
      </c>
      <c r="AU39" s="98">
        <f>G39*(0+('Newtonus.Calculator.T Head.Pipe'!$AR$35/100))</f>
        <v>1.2601016536752936E-3</v>
      </c>
      <c r="AV39" s="98"/>
      <c r="AW39" s="98"/>
    </row>
    <row r="40" spans="1:53" ht="9.9499999999999993" customHeight="1" x14ac:dyDescent="0.2">
      <c r="A40" s="54" t="s">
        <v>1</v>
      </c>
      <c r="B40" s="54" t="s">
        <v>33</v>
      </c>
      <c r="C40" s="55"/>
      <c r="D40" s="37" t="s">
        <v>31</v>
      </c>
      <c r="E40" s="12" t="s">
        <v>0</v>
      </c>
      <c r="F40" s="72">
        <f>SUM(($F$15*$G$15)+($F$16*$G$16)+($F$17*$G$17)+($F$18*$G$18)+($F$19*$G$19)+($F$20*$G$20))*(($F$65)^2/(2*9.8))</f>
        <v>0.21852578846617196</v>
      </c>
      <c r="G40" s="127">
        <f>SUM(($F$26*$G$26)+($F$27*$G$27)+($F$28*$G$28)+($F$29*$G$29)+($F$30*$G$30)+($F$31*$G$31))*(($F$62)^2/(2*9.8))</f>
        <v>0.23677128753762439</v>
      </c>
      <c r="H40" s="125"/>
      <c r="I40" s="127">
        <f>SUM((H$26*I$26)+(H$27*I$27)+(H$28*I$28)+(H$29*I$29)+(H$30*I$30)+(H31*I31))*((H$62)^2/(2*9.8))</f>
        <v>0</v>
      </c>
      <c r="J40" s="125"/>
      <c r="K40" s="137">
        <f>SUM((J$26*K$26)+(J$27*K$27)+(J$28*K$28)+(J$29*K$29)+(J$30*K$30))*((J$62)^2/(2*9.8))</f>
        <v>0</v>
      </c>
      <c r="L40" s="72">
        <f>SUM(($F$15*$G$15)+($F$16*$G$16)+($F$17*$G$17)+($F$18*$G$18)+($F$19*$G$19)+($F$20*$G$20))*(($F$65)^2/(2*9.8))</f>
        <v>0.21852578846617196</v>
      </c>
      <c r="M40" s="113"/>
      <c r="N40" s="7"/>
      <c r="O40" s="99">
        <v>4</v>
      </c>
      <c r="P40" s="87" t="s">
        <v>95</v>
      </c>
      <c r="Q40" s="106" t="b">
        <f>IF('Newtonus.Calculator.T Head.Pipe'!$G$24=1,Tot.Head!Q6)</f>
        <v>0</v>
      </c>
      <c r="R40" s="106" t="b">
        <f>IF('Newtonus.Calculator.T Head.Pipe'!$G$24=2,Tot.Head!R6)</f>
        <v>0</v>
      </c>
      <c r="S40" s="106">
        <f>IF('Newtonus.Calculator.T Head.Pipe'!$G$24=3,Tot.Head!S6)</f>
        <v>23</v>
      </c>
      <c r="T40" s="106" t="b">
        <f>IF('Newtonus.Calculator.T Head.Pipe'!$G$24=4,Tot.Head!T6)</f>
        <v>0</v>
      </c>
      <c r="U40" s="106" t="b">
        <f>IF('Newtonus.Calculator.T Head.Pipe'!$G$24=5,Tot.Head!U6)</f>
        <v>0</v>
      </c>
      <c r="V40" s="106" t="b">
        <f>IF('Newtonus.Calculator.T Head.Pipe'!$G$24=6,Tot.Head!V6)</f>
        <v>0</v>
      </c>
      <c r="W40" s="106" t="b">
        <f>IF('Newtonus.Calculator.T Head.Pipe'!$G$24=7,Tot.Head!W6)</f>
        <v>0</v>
      </c>
      <c r="X40" s="106" t="b">
        <f>IF('Newtonus.Calculator.T Head.Pipe'!$G$24=8,Tot.Head!X6)</f>
        <v>0</v>
      </c>
      <c r="Y40" s="106" t="b">
        <f>IF('Newtonus.Calculator.T Head.Pipe'!$G$24=9,Tot.Head!Y6)</f>
        <v>0</v>
      </c>
      <c r="Z40" s="106" t="b">
        <f>IF('Newtonus.Calculator.T Head.Pipe'!$G$24=10,Tot.Head!Z6)</f>
        <v>0</v>
      </c>
      <c r="AA40" s="106" t="b">
        <f>IF('Newtonus.Calculator.T Head.Pipe'!$G$24=11,Tot.Head!AA6)</f>
        <v>0</v>
      </c>
      <c r="AB40" s="106" t="b">
        <f>IF('Newtonus.Calculator.T Head.Pipe'!$G$24=12,Tot.Head!AB6)</f>
        <v>0</v>
      </c>
      <c r="AC40" s="106" t="b">
        <f>IF('Newtonus.Calculator.T Head.Pipe'!$G$24=13,Tot.Head!AC6)</f>
        <v>0</v>
      </c>
      <c r="AD40" s="106" t="b">
        <f>IF('Newtonus.Calculator.T Head.Pipe'!$G$24=14,Tot.Head!AD6)</f>
        <v>0</v>
      </c>
      <c r="AE40" s="106" t="b">
        <f>IF('Newtonus.Calculator.T Head.Pipe'!$G$24=15,Tot.Head!AE6)</f>
        <v>0</v>
      </c>
      <c r="AF40" s="106" t="b">
        <f>IF('Newtonus.Calculator.T Head.Pipe'!$G$24=16,Tot.Head!AF6)</f>
        <v>0</v>
      </c>
      <c r="AG40" s="106" t="b">
        <f>IF('Newtonus.Calculator.T Head.Pipe'!$G$24=17,Tot.Head!AG6)</f>
        <v>0</v>
      </c>
      <c r="AH40" s="87"/>
      <c r="AI40" s="87"/>
      <c r="AJ40" s="87"/>
      <c r="AM40" s="72" t="e">
        <f>SUM(($F$15*$G$15)+($F$16*$G$16)+($F$17*$G$17)+($F$18*$G$18)+($F$19*$G$19)+(AM20*AN20))*(($F$65)^2/(2*9.8))</f>
        <v>#VALUE!</v>
      </c>
      <c r="AN40" s="40">
        <f>SUM(($F$26*$G$26)+($F$27*$G$27)+($F$28*$G$28)+($F$29*$G$29)+($F$30*$G$30))*(($F$62)^2/(2*9.8))</f>
        <v>0.23677128753762439</v>
      </c>
      <c r="AT40" s="98">
        <f>F40*(0+('Newtonus.Calculator.T Head.Pipe'!$AR$35/100))</f>
        <v>3.2778868269925794E-4</v>
      </c>
      <c r="AU40" s="98">
        <f>G40*(0+('Newtonus.Calculator.T Head.Pipe'!$AR$35/100))</f>
        <v>3.5515693130643656E-4</v>
      </c>
      <c r="AV40" s="98"/>
      <c r="AW40" s="98"/>
    </row>
    <row r="41" spans="1:53" ht="9.9499999999999993" customHeight="1" x14ac:dyDescent="0.2">
      <c r="A41" s="54"/>
      <c r="B41" s="54"/>
      <c r="C41" s="55"/>
      <c r="D41" s="37" t="s">
        <v>86</v>
      </c>
      <c r="E41" s="12" t="s">
        <v>0</v>
      </c>
      <c r="F41" s="72">
        <f>'Newtonus.Calculator.T Head.Pipe'!G42+'Newtonus.Calculator.T Head.Pipe'!G43</f>
        <v>0</v>
      </c>
      <c r="G41" s="127">
        <f>'Newtonus.Calculator.T Head.Pipe'!AR42+'Newtonus.Calculator.T Head.Pipe'!AR43+'Newtonus.Calculator.T Head.Pipe'!AR44</f>
        <v>0</v>
      </c>
      <c r="H41" s="125"/>
      <c r="I41" s="127">
        <f>'Newtonus.Calculator.T Head.Pipe'!AU42+'Newtonus.Calculator.T Head.Pipe'!AU43+'Newtonus.Calculator.T Head.Pipe'!AU44</f>
        <v>0</v>
      </c>
      <c r="J41" s="125"/>
      <c r="K41" s="137">
        <f>'Newtonus.Calculator.T Head.Pipe'!AX42+'Newtonus.Calculator.T Head.Pipe'!AX43+'Newtonus.Calculator.T Head.Pipe'!AX44</f>
        <v>0</v>
      </c>
      <c r="L41" s="145"/>
      <c r="M41" s="113"/>
      <c r="N41" s="7"/>
      <c r="O41" s="99">
        <v>5</v>
      </c>
      <c r="P41" s="100" t="s">
        <v>96</v>
      </c>
      <c r="Q41" s="106" t="b">
        <f>IF('Newtonus.Calculator.T Head.Pipe'!$G$24=1,Tot.Head!Q7)</f>
        <v>0</v>
      </c>
      <c r="R41" s="106" t="b">
        <f>IF('Newtonus.Calculator.T Head.Pipe'!$G$24=2,Tot.Head!R7)</f>
        <v>0</v>
      </c>
      <c r="S41" s="106">
        <f>IF('Newtonus.Calculator.T Head.Pipe'!$G$24=3,Tot.Head!S7)</f>
        <v>25</v>
      </c>
      <c r="T41" s="106" t="b">
        <f>IF('Newtonus.Calculator.T Head.Pipe'!$G$24=4,Tot.Head!T7)</f>
        <v>0</v>
      </c>
      <c r="U41" s="106" t="b">
        <f>IF('Newtonus.Calculator.T Head.Pipe'!$G$24=5,Tot.Head!U7)</f>
        <v>0</v>
      </c>
      <c r="V41" s="106" t="b">
        <f>IF('Newtonus.Calculator.T Head.Pipe'!$G$24=6,Tot.Head!V7)</f>
        <v>0</v>
      </c>
      <c r="W41" s="106" t="b">
        <f>IF('Newtonus.Calculator.T Head.Pipe'!$G$24=7,Tot.Head!W7)</f>
        <v>0</v>
      </c>
      <c r="X41" s="106" t="b">
        <f>IF('Newtonus.Calculator.T Head.Pipe'!$G$24=8,Tot.Head!X7)</f>
        <v>0</v>
      </c>
      <c r="Y41" s="106" t="b">
        <f>IF('Newtonus.Calculator.T Head.Pipe'!$G$24=9,Tot.Head!Y7)</f>
        <v>0</v>
      </c>
      <c r="Z41" s="106" t="b">
        <f>IF('Newtonus.Calculator.T Head.Pipe'!$G$24=10,Tot.Head!Z7)</f>
        <v>0</v>
      </c>
      <c r="AA41" s="106" t="b">
        <f>IF('Newtonus.Calculator.T Head.Pipe'!$G$24=11,Tot.Head!AA7)</f>
        <v>0</v>
      </c>
      <c r="AB41" s="106" t="b">
        <f>IF('Newtonus.Calculator.T Head.Pipe'!$G$24=12,Tot.Head!AB7)</f>
        <v>0</v>
      </c>
      <c r="AC41" s="106" t="b">
        <f>IF('Newtonus.Calculator.T Head.Pipe'!$G$24=13,Tot.Head!AC7)</f>
        <v>0</v>
      </c>
      <c r="AD41" s="106" t="b">
        <f>IF('Newtonus.Calculator.T Head.Pipe'!$G$24=14,Tot.Head!AD7)</f>
        <v>0</v>
      </c>
      <c r="AE41" s="106" t="b">
        <f>IF('Newtonus.Calculator.T Head.Pipe'!$G$24=15,Tot.Head!AE7)</f>
        <v>0</v>
      </c>
      <c r="AF41" s="106" t="b">
        <f>IF('Newtonus.Calculator.T Head.Pipe'!$G$24=16,Tot.Head!AF7)</f>
        <v>0</v>
      </c>
      <c r="AG41" s="106" t="b">
        <f>IF('Newtonus.Calculator.T Head.Pipe'!$G$24=17,Tot.Head!AG7)</f>
        <v>0</v>
      </c>
      <c r="AH41" s="87"/>
      <c r="AI41" s="87"/>
      <c r="AJ41" s="87"/>
      <c r="AM41" s="72">
        <f>'Newtonus.Calculator.T Head.Pipe'!AR42+'Newtonus.Calculator.T Head.Pipe'!AR43</f>
        <v>0</v>
      </c>
      <c r="AN41" s="40">
        <f>'Newtonus.Calculator.T Head.Pipe'!CB42+'Newtonus.Calculator.T Head.Pipe'!CB43+'Newtonus.Calculator.T Head.Pipe'!CB44</f>
        <v>0</v>
      </c>
      <c r="AT41" s="98"/>
      <c r="AU41" s="98"/>
      <c r="AV41" s="98"/>
      <c r="AW41" s="98"/>
    </row>
    <row r="42" spans="1:53" ht="9.9499999999999993" customHeight="1" x14ac:dyDescent="0.2">
      <c r="A42" s="38"/>
      <c r="B42" s="38"/>
      <c r="C42" s="19"/>
      <c r="D42" s="37" t="s">
        <v>34</v>
      </c>
      <c r="E42" s="12" t="s">
        <v>0</v>
      </c>
      <c r="F42" s="72">
        <f>SUM(F39:F41)</f>
        <v>1.9128382192584503</v>
      </c>
      <c r="G42" s="127">
        <f>AW46</f>
        <v>1.0768390566544868</v>
      </c>
      <c r="H42" s="125"/>
      <c r="I42" s="127">
        <f>AY46</f>
        <v>0</v>
      </c>
      <c r="J42" s="125"/>
      <c r="K42" s="127">
        <f>BA46</f>
        <v>0</v>
      </c>
      <c r="L42" s="146">
        <f>F39+L40+F41</f>
        <v>1.9128382192584503</v>
      </c>
      <c r="M42" s="113"/>
      <c r="N42" s="7"/>
      <c r="O42" s="99">
        <v>6</v>
      </c>
      <c r="P42" s="100" t="s">
        <v>117</v>
      </c>
      <c r="Q42" s="106" t="b">
        <f>IF('Newtonus.Calculator.T Head.Pipe'!$G$24=1,Tot.Head!Q8)</f>
        <v>0</v>
      </c>
      <c r="R42" s="106" t="b">
        <f>IF('Newtonus.Calculator.T Head.Pipe'!$G$24=2,Tot.Head!R8)</f>
        <v>0</v>
      </c>
      <c r="S42" s="106">
        <f>IF('Newtonus.Calculator.T Head.Pipe'!$G$24=3,Tot.Head!S8)</f>
        <v>21.7</v>
      </c>
      <c r="T42" s="106" t="b">
        <f>IF('Newtonus.Calculator.T Head.Pipe'!$G$24=4,Tot.Head!T8)</f>
        <v>0</v>
      </c>
      <c r="U42" s="106" t="b">
        <f>IF('Newtonus.Calculator.T Head.Pipe'!$G$24=5,Tot.Head!U8)</f>
        <v>0</v>
      </c>
      <c r="V42" s="106" t="b">
        <f>IF('Newtonus.Calculator.T Head.Pipe'!$G$24=6,Tot.Head!V8)</f>
        <v>0</v>
      </c>
      <c r="W42" s="106" t="b">
        <f>IF('Newtonus.Calculator.T Head.Pipe'!$G$24=7,Tot.Head!W8)</f>
        <v>0</v>
      </c>
      <c r="X42" s="106" t="b">
        <f>IF('Newtonus.Calculator.T Head.Pipe'!$G$24=8,Tot.Head!X8)</f>
        <v>0</v>
      </c>
      <c r="Y42" s="106" t="b">
        <f>IF('Newtonus.Calculator.T Head.Pipe'!$G$24=9,Tot.Head!Y8)</f>
        <v>0</v>
      </c>
      <c r="Z42" s="106" t="b">
        <f>IF('Newtonus.Calculator.T Head.Pipe'!$G$24=10,Tot.Head!Z8)</f>
        <v>0</v>
      </c>
      <c r="AA42" s="106" t="b">
        <f>IF('Newtonus.Calculator.T Head.Pipe'!$G$24=11,Tot.Head!AA8)</f>
        <v>0</v>
      </c>
      <c r="AB42" s="106" t="b">
        <f>IF('Newtonus.Calculator.T Head.Pipe'!$G$24=12,Tot.Head!AB8)</f>
        <v>0</v>
      </c>
      <c r="AC42" s="106" t="b">
        <f>IF('Newtonus.Calculator.T Head.Pipe'!$G$24=13,Tot.Head!AC8)</f>
        <v>0</v>
      </c>
      <c r="AD42" s="106" t="b">
        <f>IF('Newtonus.Calculator.T Head.Pipe'!$G$24=14,Tot.Head!AD8)</f>
        <v>0</v>
      </c>
      <c r="AE42" s="106" t="b">
        <f>IF('Newtonus.Calculator.T Head.Pipe'!$G$24=15,Tot.Head!AE8)</f>
        <v>0</v>
      </c>
      <c r="AF42" s="106" t="b">
        <f>IF('Newtonus.Calculator.T Head.Pipe'!$G$24=16,Tot.Head!AF8)</f>
        <v>0</v>
      </c>
      <c r="AG42" s="106" t="b">
        <f>IF('Newtonus.Calculator.T Head.Pipe'!$G$24=17,Tot.Head!AG8)</f>
        <v>0</v>
      </c>
      <c r="AH42" s="87"/>
      <c r="AI42" s="87"/>
      <c r="AJ42" s="87"/>
      <c r="AM42" s="72" t="e">
        <f>SUM(AM39:AM41)</f>
        <v>#VALUE!</v>
      </c>
      <c r="AN42" s="40">
        <f>SUM(AN39:AN41)</f>
        <v>1.0768390566544868</v>
      </c>
      <c r="AT42" s="98">
        <f>SUM(AT39:AT41)</f>
        <v>2.8692573288876758E-3</v>
      </c>
      <c r="AU42" s="98">
        <f>SUM(AU39:AU41)</f>
        <v>1.6152585849817302E-3</v>
      </c>
      <c r="AV42" s="98"/>
      <c r="AW42" s="127">
        <f>SUM($G$39:$G$41)</f>
        <v>1.0768390566544868</v>
      </c>
      <c r="AX42" s="125"/>
      <c r="AY42" s="127">
        <f>SUM($I$39:$I$41)</f>
        <v>0</v>
      </c>
      <c r="AZ42" s="125"/>
      <c r="BA42" s="137">
        <f>SUM($K$39:$K$41)</f>
        <v>0</v>
      </c>
    </row>
    <row r="43" spans="1:53" ht="12" customHeight="1" thickBot="1" x14ac:dyDescent="0.25">
      <c r="A43" s="39"/>
      <c r="B43" s="57"/>
      <c r="C43" s="24"/>
      <c r="D43" s="24" t="s">
        <v>118</v>
      </c>
      <c r="E43" s="30" t="s">
        <v>119</v>
      </c>
      <c r="F43" s="112">
        <f>(F42+G42+I42+K42)*'Newtonus.Calculator.T Head.Pipe'!AR35</f>
        <v>0.44845159138694057</v>
      </c>
      <c r="G43" s="135">
        <f>SUM((F42+G42+I42+K42+F43))</f>
        <v>3.438128867299878</v>
      </c>
      <c r="H43" s="126"/>
      <c r="I43" s="126"/>
      <c r="J43" s="126"/>
      <c r="K43" s="126"/>
      <c r="L43" s="145"/>
      <c r="M43" s="113"/>
      <c r="N43" s="7"/>
      <c r="O43" s="99">
        <v>7</v>
      </c>
      <c r="P43" s="100" t="s">
        <v>116</v>
      </c>
      <c r="Q43" s="106" t="b">
        <f>IF('Newtonus.Calculator.T Head.Pipe'!$G$24=1,Tot.Head!Q9)</f>
        <v>0</v>
      </c>
      <c r="R43" s="106" t="b">
        <f>IF('Newtonus.Calculator.T Head.Pipe'!$G$24=2,Tot.Head!R9)</f>
        <v>0</v>
      </c>
      <c r="S43" s="106">
        <f>IF('Newtonus.Calculator.T Head.Pipe'!$G$24=3,Tot.Head!S9)</f>
        <v>29</v>
      </c>
      <c r="T43" s="106" t="b">
        <f>IF('Newtonus.Calculator.T Head.Pipe'!$G$24=4,Tot.Head!T9)</f>
        <v>0</v>
      </c>
      <c r="U43" s="106" t="b">
        <f>IF('Newtonus.Calculator.T Head.Pipe'!$G$24=5,Tot.Head!U9)</f>
        <v>0</v>
      </c>
      <c r="V43" s="106" t="b">
        <f>IF('Newtonus.Calculator.T Head.Pipe'!$G$24=6,Tot.Head!V9)</f>
        <v>0</v>
      </c>
      <c r="W43" s="106" t="b">
        <f>IF('Newtonus.Calculator.T Head.Pipe'!$G$24=7,Tot.Head!W9)</f>
        <v>0</v>
      </c>
      <c r="X43" s="106" t="b">
        <f>IF('Newtonus.Calculator.T Head.Pipe'!$G$24=8,Tot.Head!X9)</f>
        <v>0</v>
      </c>
      <c r="Y43" s="106" t="b">
        <f>IF('Newtonus.Calculator.T Head.Pipe'!$G$24=9,Tot.Head!Y9)</f>
        <v>0</v>
      </c>
      <c r="Z43" s="106" t="b">
        <f>IF('Newtonus.Calculator.T Head.Pipe'!$G$24=10,Tot.Head!Z9)</f>
        <v>0</v>
      </c>
      <c r="AA43" s="106" t="b">
        <f>IF('Newtonus.Calculator.T Head.Pipe'!$G$24=11,Tot.Head!AA9)</f>
        <v>0</v>
      </c>
      <c r="AB43" s="106" t="b">
        <f>IF('Newtonus.Calculator.T Head.Pipe'!$G$24=12,Tot.Head!AB9)</f>
        <v>0</v>
      </c>
      <c r="AC43" s="106" t="b">
        <f>IF('Newtonus.Calculator.T Head.Pipe'!$G$24=13,Tot.Head!AC9)</f>
        <v>0</v>
      </c>
      <c r="AD43" s="106" t="b">
        <f>IF('Newtonus.Calculator.T Head.Pipe'!$G$24=14,Tot.Head!AD9)</f>
        <v>0</v>
      </c>
      <c r="AE43" s="106" t="b">
        <f>IF('Newtonus.Calculator.T Head.Pipe'!$G$24=15,Tot.Head!AE9)</f>
        <v>0</v>
      </c>
      <c r="AF43" s="106" t="b">
        <f>IF('Newtonus.Calculator.T Head.Pipe'!$G$24=16,Tot.Head!AF9)</f>
        <v>0</v>
      </c>
      <c r="AG43" s="106" t="b">
        <f>IF('Newtonus.Calculator.T Head.Pipe'!$G$24=17,Tot.Head!AG9)</f>
        <v>0</v>
      </c>
      <c r="AH43" s="87"/>
      <c r="AI43" s="87"/>
      <c r="AJ43" s="87"/>
      <c r="AM43" s="41" t="s">
        <v>1</v>
      </c>
      <c r="AN43" s="42" t="e">
        <f>SUM(AM42+AN42)</f>
        <v>#VALUE!</v>
      </c>
      <c r="AT43" s="98"/>
      <c r="AU43" s="98"/>
      <c r="AV43" s="98"/>
      <c r="AW43" s="98"/>
    </row>
    <row r="44" spans="1:53" ht="3" customHeight="1" thickBot="1" x14ac:dyDescent="0.25">
      <c r="F44" s="1"/>
      <c r="G44" s="1"/>
      <c r="H44" s="113"/>
      <c r="I44" s="113"/>
      <c r="J44" s="113"/>
      <c r="K44" s="113"/>
      <c r="L44" s="113"/>
      <c r="M44" s="113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1:53" ht="6" customHeight="1" x14ac:dyDescent="0.2">
      <c r="A45" s="843"/>
      <c r="B45" s="56"/>
      <c r="C45" s="16"/>
      <c r="D45" s="16"/>
      <c r="E45" s="16"/>
      <c r="F45" s="17"/>
      <c r="G45" s="17"/>
      <c r="H45" s="124"/>
      <c r="I45" s="124"/>
      <c r="J45" s="124"/>
      <c r="K45" s="124"/>
      <c r="L45" s="113"/>
      <c r="M45" s="113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1:53" ht="13.5" customHeight="1" x14ac:dyDescent="0.2">
      <c r="A46" s="844"/>
      <c r="B46" s="65" t="s">
        <v>57</v>
      </c>
      <c r="C46" s="47"/>
      <c r="D46" s="47" t="s">
        <v>58</v>
      </c>
      <c r="E46" s="75" t="s">
        <v>75</v>
      </c>
      <c r="F46" s="77">
        <f>SUM(F8)</f>
        <v>1.388889</v>
      </c>
      <c r="G46" s="75"/>
      <c r="H46" s="129">
        <f>H8</f>
        <v>0</v>
      </c>
      <c r="I46" s="129"/>
      <c r="J46" s="129">
        <f>J8</f>
        <v>0</v>
      </c>
      <c r="K46" s="129"/>
      <c r="L46" s="113"/>
      <c r="M46" s="113"/>
      <c r="O46" s="99">
        <v>1</v>
      </c>
      <c r="P46" s="100" t="s">
        <v>94</v>
      </c>
      <c r="Q46" s="106" t="b">
        <f>IF('Newtonus.Calculator.T Head.Pipe'!$G$20=1,Tot.Head!Q37)</f>
        <v>0</v>
      </c>
      <c r="R46" s="106" t="b">
        <f>IF('Newtonus.Calculator.T Head.Pipe'!$G$20=1,Tot.Head!R37)</f>
        <v>0</v>
      </c>
      <c r="S46" s="106" t="b">
        <f>IF('Newtonus.Calculator.T Head.Pipe'!$G$20=1,Tot.Head!S37)</f>
        <v>0</v>
      </c>
      <c r="T46" s="106" t="b">
        <f>IF('Newtonus.Calculator.T Head.Pipe'!$G$20=1,Tot.Head!T37)</f>
        <v>0</v>
      </c>
      <c r="U46" s="106" t="b">
        <f>IF('Newtonus.Calculator.T Head.Pipe'!$G$20=1,Tot.Head!U37)</f>
        <v>0</v>
      </c>
      <c r="V46" s="106" t="b">
        <f>IF('Newtonus.Calculator.T Head.Pipe'!$G$20=1,Tot.Head!V37)</f>
        <v>0</v>
      </c>
      <c r="W46" s="106" t="b">
        <f>IF('Newtonus.Calculator.T Head.Pipe'!$G$20=1,Tot.Head!W37)</f>
        <v>0</v>
      </c>
      <c r="X46" s="106" t="b">
        <f>IF('Newtonus.Calculator.T Head.Pipe'!$G$20=1,Tot.Head!X37)</f>
        <v>0</v>
      </c>
      <c r="Y46" s="106" t="b">
        <f>IF('Newtonus.Calculator.T Head.Pipe'!$G$20=1,Tot.Head!Y37)</f>
        <v>0</v>
      </c>
      <c r="Z46" s="106" t="b">
        <f>IF('Newtonus.Calculator.T Head.Pipe'!$G$20=1,Tot.Head!Z37)</f>
        <v>0</v>
      </c>
      <c r="AA46" s="106" t="b">
        <f>IF('Newtonus.Calculator.T Head.Pipe'!$G$20=1,Tot.Head!AA37)</f>
        <v>0</v>
      </c>
      <c r="AB46" s="106" t="b">
        <f>IF('Newtonus.Calculator.T Head.Pipe'!$G$20=1,Tot.Head!AB37)</f>
        <v>0</v>
      </c>
      <c r="AC46" s="106" t="b">
        <f>IF('Newtonus.Calculator.T Head.Pipe'!$G$20=1,Tot.Head!AC37)</f>
        <v>0</v>
      </c>
      <c r="AD46" s="106" t="b">
        <f>IF('Newtonus.Calculator.T Head.Pipe'!$G$20=1,Tot.Head!AD37)</f>
        <v>0</v>
      </c>
      <c r="AE46" s="106" t="b">
        <f>IF('Newtonus.Calculator.T Head.Pipe'!$G$20=1,Tot.Head!AE37)</f>
        <v>0</v>
      </c>
      <c r="AF46" s="106" t="b">
        <f>IF('Newtonus.Calculator.T Head.Pipe'!$G$20=1,Tot.Head!AF37)</f>
        <v>0</v>
      </c>
      <c r="AG46" s="106" t="b">
        <f>IF('Newtonus.Calculator.T Head.Pipe'!$G$20=1,Tot.Head!AG37)</f>
        <v>0</v>
      </c>
      <c r="AH46" s="104">
        <f>SUM(Q46:AG46)</f>
        <v>0</v>
      </c>
      <c r="AL46" t="s">
        <v>91</v>
      </c>
      <c r="AW46" s="340">
        <f>IF('Newtonus.Calculator.T Head.Pipe'!$AR$11&lt;=0,0,IF($AW$37=$AW$29,$AW$42,IF($AW$37=$AW$30,$AW$42,IF($AW$37=$AW$31,$AW$42,IF($AW$37=$AW$32,$AW$42,IF($AW$37=$AW$33,$AW$42,IF($AW$37=$AW$34,$AW$42,IF($AW$37=$AW$35,$AW$42,))))))))</f>
        <v>1.0768390566544868</v>
      </c>
      <c r="AY46" s="340">
        <f>IF('Newtonus.Calculator.T Head.Pipe'!$AU$11&lt;=0,0,IF($AW$37=$AW$29,0,IF($AW$37=$AW$30,$AY$42,IF($AW$37=$AW$31,$AY$42,IF($AW$37=$AW$32,$AY$42,IF($AW$37=$AW$33,$AY$42,IF($AW$37=$AW$34,$AY$42,IF($AW$37=$AW$35,$AY$42,))))))))</f>
        <v>0</v>
      </c>
      <c r="BA46" s="340">
        <f>IF('Newtonus.Calculator.T Head.Pipe'!$AX$11&lt;=0,0,IF($AW$37=$AW$29,0,IF($AW$37=$AW$30,0,IF($AW$37=$AW$31,$BA$42,IF($AW$37=$AW$32,$BA$42,IF($AW$37=$AW$33,$BA$42,IF($AW$37=$AW$34,$BA$42,IF($AW$37=$AW$35,0,))))))))</f>
        <v>0</v>
      </c>
    </row>
    <row r="47" spans="1:53" ht="9.9499999999999993" customHeight="1" x14ac:dyDescent="0.2">
      <c r="A47" s="844"/>
      <c r="B47" s="65" t="s">
        <v>1</v>
      </c>
      <c r="C47" s="47"/>
      <c r="D47" s="47" t="s">
        <v>88</v>
      </c>
      <c r="E47" s="75" t="s">
        <v>0</v>
      </c>
      <c r="F47" s="77">
        <f>ROUNDUP((($F$34+$F$35+$F$11)+G43),2)</f>
        <v>19.440000000000001</v>
      </c>
      <c r="G47" s="77" t="e">
        <f>SUM($F$34+$F$35+$F$11)+AN43</f>
        <v>#VALUE!</v>
      </c>
      <c r="H47" s="129"/>
      <c r="I47" s="129"/>
      <c r="J47" s="129"/>
      <c r="K47" s="129"/>
      <c r="L47" s="113"/>
      <c r="M47" s="113"/>
      <c r="O47" s="99">
        <v>2</v>
      </c>
      <c r="P47" s="100" t="s">
        <v>103</v>
      </c>
      <c r="Q47" s="106" t="b">
        <f>IF('Newtonus.Calculator.T Head.Pipe'!$G$20=2,Tot.Head!Q38)</f>
        <v>0</v>
      </c>
      <c r="R47" s="106" t="b">
        <f>IF('Newtonus.Calculator.T Head.Pipe'!$G$20=2,Tot.Head!R38)</f>
        <v>0</v>
      </c>
      <c r="S47" s="106" t="b">
        <f>IF('Newtonus.Calculator.T Head.Pipe'!$G$20=2,Tot.Head!S38)</f>
        <v>0</v>
      </c>
      <c r="T47" s="106" t="b">
        <f>IF('Newtonus.Calculator.T Head.Pipe'!$G$20=2,Tot.Head!T38)</f>
        <v>0</v>
      </c>
      <c r="U47" s="106" t="b">
        <f>IF('Newtonus.Calculator.T Head.Pipe'!$G$20=2,Tot.Head!U38)</f>
        <v>0</v>
      </c>
      <c r="V47" s="106" t="b">
        <f>IF('Newtonus.Calculator.T Head.Pipe'!$G$20=2,Tot.Head!V38)</f>
        <v>0</v>
      </c>
      <c r="W47" s="106" t="b">
        <f>IF('Newtonus.Calculator.T Head.Pipe'!$G$20=2,Tot.Head!W38)</f>
        <v>0</v>
      </c>
      <c r="X47" s="106" t="b">
        <f>IF('Newtonus.Calculator.T Head.Pipe'!$G$20=2,Tot.Head!X38)</f>
        <v>0</v>
      </c>
      <c r="Y47" s="106" t="b">
        <f>IF('Newtonus.Calculator.T Head.Pipe'!$G$20=2,Tot.Head!Y38)</f>
        <v>0</v>
      </c>
      <c r="Z47" s="106" t="b">
        <f>IF('Newtonus.Calculator.T Head.Pipe'!$G$20=2,Tot.Head!Z38)</f>
        <v>0</v>
      </c>
      <c r="AA47" s="106" t="b">
        <f>IF('Newtonus.Calculator.T Head.Pipe'!$G$20=2,Tot.Head!AA38)</f>
        <v>0</v>
      </c>
      <c r="AB47" s="106" t="b">
        <f>IF('Newtonus.Calculator.T Head.Pipe'!$G$20=2,Tot.Head!AB38)</f>
        <v>0</v>
      </c>
      <c r="AC47" s="106" t="b">
        <f>IF('Newtonus.Calculator.T Head.Pipe'!$G$20=2,Tot.Head!AC38)</f>
        <v>0</v>
      </c>
      <c r="AD47" s="106" t="b">
        <f>IF('Newtonus.Calculator.T Head.Pipe'!$G$20=2,Tot.Head!AD38)</f>
        <v>0</v>
      </c>
      <c r="AE47" s="106" t="b">
        <f>IF('Newtonus.Calculator.T Head.Pipe'!$G$20=2,Tot.Head!AE38)</f>
        <v>0</v>
      </c>
      <c r="AF47" s="106" t="b">
        <f>IF('Newtonus.Calculator.T Head.Pipe'!$G$20=2,Tot.Head!AF38)</f>
        <v>0</v>
      </c>
      <c r="AG47" s="106" t="b">
        <f>IF('Newtonus.Calculator.T Head.Pipe'!$G$20=2,Tot.Head!AG38)</f>
        <v>0</v>
      </c>
      <c r="AH47" s="104">
        <f t="shared" ref="AH47:AH52" si="7">SUM(Q47:AG47)</f>
        <v>0</v>
      </c>
      <c r="AL47" s="77">
        <f>SUM($F$34+$F$35)+G42</f>
        <v>16.076839056654485</v>
      </c>
      <c r="AW47" s="340">
        <f>IF('Newtonus.Calculator.T Head.Pipe'!$AR$11&lt;=0,0,IF('Newtonus.Calculator.T Head.Pipe'!$AR$11&gt;0,Tot.Head!$AW$42))</f>
        <v>1.0768390566544868</v>
      </c>
      <c r="AY47" s="340">
        <f>IF('Newtonus.Calculator.T Head.Pipe'!$AU$11&lt;=0,0,IF('Newtonus.Calculator.T Head.Pipe'!$AU$11&gt;0,Tot.Head!$AY$42))</f>
        <v>0</v>
      </c>
      <c r="BA47" s="340">
        <f>IF('Newtonus.Calculator.T Head.Pipe'!$AX$11&lt;=0,0,IF('Newtonus.Calculator.T Head.Pipe'!$AX$11&gt;0,Tot.Head!$BA$42))</f>
        <v>0</v>
      </c>
    </row>
    <row r="48" spans="1:53" ht="9.75" customHeight="1" x14ac:dyDescent="0.2">
      <c r="A48" s="844"/>
      <c r="B48" s="64"/>
      <c r="C48" s="46"/>
      <c r="D48" s="18"/>
      <c r="E48" s="19"/>
      <c r="F48" s="19"/>
      <c r="G48" s="19"/>
      <c r="H48" s="129"/>
      <c r="I48" s="129"/>
      <c r="J48" s="129"/>
      <c r="K48" s="129"/>
      <c r="L48" s="113"/>
      <c r="M48" s="113"/>
      <c r="O48" s="99">
        <v>3</v>
      </c>
      <c r="P48" s="100" t="s">
        <v>102</v>
      </c>
      <c r="Q48" s="106" t="b">
        <f>IF('Newtonus.Calculator.T Head.Pipe'!$G$20=3,Tot.Head!Q39)</f>
        <v>0</v>
      </c>
      <c r="R48" s="106" t="b">
        <f>IF('Newtonus.Calculator.T Head.Pipe'!$G$20=3,Tot.Head!R39)</f>
        <v>0</v>
      </c>
      <c r="S48" s="106">
        <f>IF('Newtonus.Calculator.T Head.Pipe'!$G$20=3,Tot.Head!S39)</f>
        <v>27.3</v>
      </c>
      <c r="T48" s="106" t="b">
        <f>IF('Newtonus.Calculator.T Head.Pipe'!$G$20=3,Tot.Head!T39)</f>
        <v>0</v>
      </c>
      <c r="U48" s="106" t="b">
        <f>IF('Newtonus.Calculator.T Head.Pipe'!$G$20=3,Tot.Head!U39)</f>
        <v>0</v>
      </c>
      <c r="V48" s="106" t="b">
        <f>IF('Newtonus.Calculator.T Head.Pipe'!$G$20=3,Tot.Head!V39)</f>
        <v>0</v>
      </c>
      <c r="W48" s="106" t="b">
        <f>IF('Newtonus.Calculator.T Head.Pipe'!$G$20=3,Tot.Head!W39)</f>
        <v>0</v>
      </c>
      <c r="X48" s="106" t="b">
        <f>IF('Newtonus.Calculator.T Head.Pipe'!$G$20=3,Tot.Head!X39)</f>
        <v>0</v>
      </c>
      <c r="Y48" s="106" t="b">
        <f>IF('Newtonus.Calculator.T Head.Pipe'!$G$20=3,Tot.Head!Y39)</f>
        <v>0</v>
      </c>
      <c r="Z48" s="106" t="b">
        <f>IF('Newtonus.Calculator.T Head.Pipe'!$G$20=3,Tot.Head!Z39)</f>
        <v>0</v>
      </c>
      <c r="AA48" s="106" t="b">
        <f>IF('Newtonus.Calculator.T Head.Pipe'!$G$20=3,Tot.Head!AA39)</f>
        <v>0</v>
      </c>
      <c r="AB48" s="106" t="b">
        <f>IF('Newtonus.Calculator.T Head.Pipe'!$G$20=3,Tot.Head!AB39)</f>
        <v>0</v>
      </c>
      <c r="AC48" s="106" t="b">
        <f>IF('Newtonus.Calculator.T Head.Pipe'!$G$20=3,Tot.Head!AC39)</f>
        <v>0</v>
      </c>
      <c r="AD48" s="106" t="b">
        <f>IF('Newtonus.Calculator.T Head.Pipe'!$G$20=3,Tot.Head!AD39)</f>
        <v>0</v>
      </c>
      <c r="AE48" s="106" t="b">
        <f>IF('Newtonus.Calculator.T Head.Pipe'!$G$20=3,Tot.Head!AE39)</f>
        <v>0</v>
      </c>
      <c r="AF48" s="106" t="b">
        <f>IF('Newtonus.Calculator.T Head.Pipe'!$G$20=3,Tot.Head!AF39)</f>
        <v>0</v>
      </c>
      <c r="AG48" s="106" t="b">
        <f>IF('Newtonus.Calculator.T Head.Pipe'!$G$20=3,Tot.Head!AG39)</f>
        <v>0</v>
      </c>
      <c r="AH48" s="104">
        <f t="shared" si="7"/>
        <v>27.3</v>
      </c>
    </row>
    <row r="49" spans="1:42" ht="9.9499999999999993" customHeight="1" x14ac:dyDescent="0.2">
      <c r="A49" s="844"/>
      <c r="B49" s="65" t="s">
        <v>1</v>
      </c>
      <c r="C49" s="47"/>
      <c r="D49" s="20" t="s">
        <v>12</v>
      </c>
      <c r="E49" s="21" t="s">
        <v>22</v>
      </c>
      <c r="F49" s="21" t="str">
        <f>'Newtonus.Calculator.T Head.Pipe'!BE14</f>
        <v xml:space="preserve"> </v>
      </c>
      <c r="G49" s="21"/>
      <c r="H49" s="129"/>
      <c r="I49" s="129"/>
      <c r="J49" s="129"/>
      <c r="K49" s="129"/>
      <c r="L49" s="113"/>
      <c r="M49" s="113"/>
      <c r="O49" s="99">
        <v>4</v>
      </c>
      <c r="P49" s="87" t="s">
        <v>95</v>
      </c>
      <c r="Q49" s="106" t="b">
        <f>IF('Newtonus.Calculator.T Head.Pipe'!$G$20=4,Tot.Head!Q40)</f>
        <v>0</v>
      </c>
      <c r="R49" s="106" t="b">
        <f>IF('Newtonus.Calculator.T Head.Pipe'!$G$20=4,Tot.Head!R40)</f>
        <v>0</v>
      </c>
      <c r="S49" s="106" t="b">
        <f>IF('Newtonus.Calculator.T Head.Pipe'!$G$20=4,Tot.Head!S40)</f>
        <v>0</v>
      </c>
      <c r="T49" s="106" t="b">
        <f>IF('Newtonus.Calculator.T Head.Pipe'!$G$20=4,Tot.Head!T40)</f>
        <v>0</v>
      </c>
      <c r="U49" s="106" t="b">
        <f>IF('Newtonus.Calculator.T Head.Pipe'!$G$20=4,Tot.Head!U40)</f>
        <v>0</v>
      </c>
      <c r="V49" s="106" t="b">
        <f>IF('Newtonus.Calculator.T Head.Pipe'!$G$20=4,Tot.Head!V40)</f>
        <v>0</v>
      </c>
      <c r="W49" s="106" t="b">
        <f>IF('Newtonus.Calculator.T Head.Pipe'!$G$20=4,Tot.Head!W40)</f>
        <v>0</v>
      </c>
      <c r="X49" s="106" t="b">
        <f>IF('Newtonus.Calculator.T Head.Pipe'!$G$20=4,Tot.Head!X40)</f>
        <v>0</v>
      </c>
      <c r="Y49" s="106" t="b">
        <f>IF('Newtonus.Calculator.T Head.Pipe'!$G$20=4,Tot.Head!Y40)</f>
        <v>0</v>
      </c>
      <c r="Z49" s="106" t="b">
        <f>IF('Newtonus.Calculator.T Head.Pipe'!$G$20=4,Tot.Head!Z40)</f>
        <v>0</v>
      </c>
      <c r="AA49" s="106" t="b">
        <f>IF('Newtonus.Calculator.T Head.Pipe'!$G$20=4,Tot.Head!AA40)</f>
        <v>0</v>
      </c>
      <c r="AB49" s="106" t="b">
        <f>IF('Newtonus.Calculator.T Head.Pipe'!$G$20=4,Tot.Head!AB40)</f>
        <v>0</v>
      </c>
      <c r="AC49" s="106" t="b">
        <f>IF('Newtonus.Calculator.T Head.Pipe'!$G$20=4,Tot.Head!AC40)</f>
        <v>0</v>
      </c>
      <c r="AD49" s="106" t="b">
        <f>IF('Newtonus.Calculator.T Head.Pipe'!$G$20=4,Tot.Head!AD40)</f>
        <v>0</v>
      </c>
      <c r="AE49" s="106" t="b">
        <f>IF('Newtonus.Calculator.T Head.Pipe'!$G$20=4,Tot.Head!AE40)</f>
        <v>0</v>
      </c>
      <c r="AF49" s="106" t="b">
        <f>IF('Newtonus.Calculator.T Head.Pipe'!$G$20=4,Tot.Head!AF40)</f>
        <v>0</v>
      </c>
      <c r="AG49" s="106" t="b">
        <f>IF('Newtonus.Calculator.T Head.Pipe'!$G$20=4,Tot.Head!AG40)</f>
        <v>0</v>
      </c>
      <c r="AH49" s="104">
        <f t="shared" si="7"/>
        <v>0</v>
      </c>
      <c r="AL49" s="98">
        <f ca="1">IF(D71&lt;D72,F47,IF(D71&gt;=D72,0,))</f>
        <v>19.440000000000001</v>
      </c>
    </row>
    <row r="50" spans="1:42" ht="9.9499999999999993" customHeight="1" x14ac:dyDescent="0.2">
      <c r="A50" s="844"/>
      <c r="B50" s="48" t="s">
        <v>68</v>
      </c>
      <c r="C50" s="49"/>
      <c r="D50" s="20" t="s">
        <v>13</v>
      </c>
      <c r="E50" s="21" t="s">
        <v>11</v>
      </c>
      <c r="F50" s="22">
        <f>'Newtonus.Calculator.T Head.Pipe'!BE16</f>
        <v>70</v>
      </c>
      <c r="G50" s="21"/>
      <c r="H50" s="129"/>
      <c r="I50" s="129"/>
      <c r="J50" s="129"/>
      <c r="K50" s="129"/>
      <c r="L50" s="113"/>
      <c r="M50" s="113"/>
      <c r="O50" s="99">
        <v>5</v>
      </c>
      <c r="P50" s="100" t="s">
        <v>96</v>
      </c>
      <c r="Q50" s="106" t="b">
        <f>IF('Newtonus.Calculator.T Head.Pipe'!$G$20=5,Tot.Head!Q41)</f>
        <v>0</v>
      </c>
      <c r="R50" s="106" t="b">
        <f>IF('Newtonus.Calculator.T Head.Pipe'!$G$20=5,Tot.Head!R41)</f>
        <v>0</v>
      </c>
      <c r="S50" s="106" t="b">
        <f>IF('Newtonus.Calculator.T Head.Pipe'!$G$20=5,Tot.Head!S41)</f>
        <v>0</v>
      </c>
      <c r="T50" s="106" t="b">
        <f>IF('Newtonus.Calculator.T Head.Pipe'!$G$20=5,Tot.Head!T41)</f>
        <v>0</v>
      </c>
      <c r="U50" s="106" t="b">
        <f>IF('Newtonus.Calculator.T Head.Pipe'!$G$20=5,Tot.Head!U41)</f>
        <v>0</v>
      </c>
      <c r="V50" s="106" t="b">
        <f>IF('Newtonus.Calculator.T Head.Pipe'!$G$20=5,Tot.Head!V41)</f>
        <v>0</v>
      </c>
      <c r="W50" s="106" t="b">
        <f>IF('Newtonus.Calculator.T Head.Pipe'!$G$20=5,Tot.Head!W41)</f>
        <v>0</v>
      </c>
      <c r="X50" s="106" t="b">
        <f>IF('Newtonus.Calculator.T Head.Pipe'!$G$20=5,Tot.Head!X41)</f>
        <v>0</v>
      </c>
      <c r="Y50" s="106" t="b">
        <f>IF('Newtonus.Calculator.T Head.Pipe'!$G$20=5,Tot.Head!Y41)</f>
        <v>0</v>
      </c>
      <c r="Z50" s="106" t="b">
        <f>IF('Newtonus.Calculator.T Head.Pipe'!$G$20=5,Tot.Head!Z41)</f>
        <v>0</v>
      </c>
      <c r="AA50" s="106" t="b">
        <f>IF('Newtonus.Calculator.T Head.Pipe'!$G$20=5,Tot.Head!AA41)</f>
        <v>0</v>
      </c>
      <c r="AB50" s="106" t="b">
        <f>IF('Newtonus.Calculator.T Head.Pipe'!$G$20=5,Tot.Head!AB41)</f>
        <v>0</v>
      </c>
      <c r="AC50" s="106" t="b">
        <f>IF('Newtonus.Calculator.T Head.Pipe'!$G$20=5,Tot.Head!AC41)</f>
        <v>0</v>
      </c>
      <c r="AD50" s="106" t="b">
        <f>IF('Newtonus.Calculator.T Head.Pipe'!$G$20=5,Tot.Head!AD41)</f>
        <v>0</v>
      </c>
      <c r="AE50" s="106" t="b">
        <f>IF('Newtonus.Calculator.T Head.Pipe'!$G$20=5,Tot.Head!AE41)</f>
        <v>0</v>
      </c>
      <c r="AF50" s="106" t="b">
        <f>IF('Newtonus.Calculator.T Head.Pipe'!$G$20=5,Tot.Head!AF41)</f>
        <v>0</v>
      </c>
      <c r="AG50" s="106" t="b">
        <f>IF('Newtonus.Calculator.T Head.Pipe'!$G$20=5,Tot.Head!AG41)</f>
        <v>0</v>
      </c>
      <c r="AH50" s="104">
        <f t="shared" si="7"/>
        <v>0</v>
      </c>
    </row>
    <row r="51" spans="1:42" ht="9.9499999999999993" customHeight="1" x14ac:dyDescent="0.2">
      <c r="A51" s="844"/>
      <c r="B51" s="66"/>
      <c r="C51" s="20"/>
      <c r="D51" s="20" t="s">
        <v>8</v>
      </c>
      <c r="E51" s="21" t="s">
        <v>0</v>
      </c>
      <c r="F51" s="76">
        <f>'Newtonus.Calculator.T Head.Pipe'!BE15</f>
        <v>3</v>
      </c>
      <c r="G51" s="21"/>
      <c r="H51" s="129"/>
      <c r="I51" s="129"/>
      <c r="J51" s="129"/>
      <c r="K51" s="129"/>
      <c r="L51" s="113"/>
      <c r="M51" s="113"/>
      <c r="O51" s="99">
        <v>6</v>
      </c>
      <c r="P51" s="100" t="s">
        <v>117</v>
      </c>
      <c r="Q51" s="106" t="b">
        <f>IF('Newtonus.Calculator.T Head.Pipe'!$G$20=6,Tot.Head!Q42)</f>
        <v>0</v>
      </c>
      <c r="R51" s="106" t="b">
        <f>IF('Newtonus.Calculator.T Head.Pipe'!$G$20=6,Tot.Head!R42)</f>
        <v>0</v>
      </c>
      <c r="S51" s="106" t="b">
        <f>IF('Newtonus.Calculator.T Head.Pipe'!$G$20=6,Tot.Head!S42)</f>
        <v>0</v>
      </c>
      <c r="T51" s="106" t="b">
        <f>IF('Newtonus.Calculator.T Head.Pipe'!$G$20=6,Tot.Head!T42)</f>
        <v>0</v>
      </c>
      <c r="U51" s="106" t="b">
        <f>IF('Newtonus.Calculator.T Head.Pipe'!$G$20=6,Tot.Head!U42)</f>
        <v>0</v>
      </c>
      <c r="V51" s="106" t="b">
        <f>IF('Newtonus.Calculator.T Head.Pipe'!$G$20=6,Tot.Head!V42)</f>
        <v>0</v>
      </c>
      <c r="W51" s="106" t="b">
        <f>IF('Newtonus.Calculator.T Head.Pipe'!$G$20=6,Tot.Head!W42)</f>
        <v>0</v>
      </c>
      <c r="X51" s="106" t="b">
        <f>IF('Newtonus.Calculator.T Head.Pipe'!$G$20=6,Tot.Head!X42)</f>
        <v>0</v>
      </c>
      <c r="Y51" s="106" t="b">
        <f>IF('Newtonus.Calculator.T Head.Pipe'!$G$20=6,Tot.Head!Y42)</f>
        <v>0</v>
      </c>
      <c r="Z51" s="106" t="b">
        <f>IF('Newtonus.Calculator.T Head.Pipe'!$G$20=6,Tot.Head!Z42)</f>
        <v>0</v>
      </c>
      <c r="AA51" s="106" t="b">
        <f>IF('Newtonus.Calculator.T Head.Pipe'!$G$20=6,Tot.Head!AA42)</f>
        <v>0</v>
      </c>
      <c r="AB51" s="106" t="b">
        <f>IF('Newtonus.Calculator.T Head.Pipe'!$G$20=6,Tot.Head!AB42)</f>
        <v>0</v>
      </c>
      <c r="AC51" s="106" t="b">
        <f>IF('Newtonus.Calculator.T Head.Pipe'!$G$20=6,Tot.Head!AC42)</f>
        <v>0</v>
      </c>
      <c r="AD51" s="106" t="b">
        <f>IF('Newtonus.Calculator.T Head.Pipe'!$G$20=6,Tot.Head!AD42)</f>
        <v>0</v>
      </c>
      <c r="AE51" s="106" t="b">
        <f>IF('Newtonus.Calculator.T Head.Pipe'!$G$20=6,Tot.Head!AE42)</f>
        <v>0</v>
      </c>
      <c r="AF51" s="106" t="b">
        <f>IF('Newtonus.Calculator.T Head.Pipe'!$G$20=6,Tot.Head!AF42)</f>
        <v>0</v>
      </c>
      <c r="AG51" s="106" t="b">
        <f>IF('Newtonus.Calculator.T Head.Pipe'!$G$20=6,Tot.Head!AG42)</f>
        <v>0</v>
      </c>
      <c r="AH51" s="104">
        <f t="shared" si="7"/>
        <v>0</v>
      </c>
    </row>
    <row r="52" spans="1:42" ht="11.1" customHeight="1" x14ac:dyDescent="0.2">
      <c r="A52" s="844"/>
      <c r="B52" s="67" t="s">
        <v>1</v>
      </c>
      <c r="C52" s="68"/>
      <c r="D52" s="69" t="s">
        <v>1</v>
      </c>
      <c r="E52" s="70" t="s">
        <v>1</v>
      </c>
      <c r="F52" s="109">
        <f ca="1">('Newtonus.Calculator.T Head.Pipe'!BE9*'Newtonus.Calculator.T Head.Pipe'!BE10*9.8*1000)/(3600*F50*1000)*100</f>
        <v>0.37722225240000007</v>
      </c>
      <c r="G52" s="70" t="s">
        <v>105</v>
      </c>
      <c r="H52" s="129"/>
      <c r="I52" s="129"/>
      <c r="J52" s="129"/>
      <c r="K52" s="129"/>
      <c r="L52" s="113"/>
      <c r="M52" s="113"/>
      <c r="O52" s="99">
        <v>7</v>
      </c>
      <c r="P52" s="100" t="s">
        <v>116</v>
      </c>
      <c r="Q52" s="106" t="b">
        <f>IF('Newtonus.Calculator.T Head.Pipe'!$G$20=7,Tot.Head!Q43)</f>
        <v>0</v>
      </c>
      <c r="R52" s="106" t="b">
        <f>IF('Newtonus.Calculator.T Head.Pipe'!$G$20=7,Tot.Head!R43)</f>
        <v>0</v>
      </c>
      <c r="S52" s="106" t="b">
        <f>IF('Newtonus.Calculator.T Head.Pipe'!$G$20=7,Tot.Head!S43)</f>
        <v>0</v>
      </c>
      <c r="T52" s="106" t="b">
        <f>IF('Newtonus.Calculator.T Head.Pipe'!$G$20=7,Tot.Head!T43)</f>
        <v>0</v>
      </c>
      <c r="U52" s="106" t="b">
        <f>IF('Newtonus.Calculator.T Head.Pipe'!$G$20=7,Tot.Head!U43)</f>
        <v>0</v>
      </c>
      <c r="V52" s="106" t="b">
        <f>IF('Newtonus.Calculator.T Head.Pipe'!$G$20=7,Tot.Head!V43)</f>
        <v>0</v>
      </c>
      <c r="W52" s="106" t="b">
        <f>IF('Newtonus.Calculator.T Head.Pipe'!$G$20=7,Tot.Head!W43)</f>
        <v>0</v>
      </c>
      <c r="X52" s="106" t="b">
        <f>IF('Newtonus.Calculator.T Head.Pipe'!$G$20=7,Tot.Head!X43)</f>
        <v>0</v>
      </c>
      <c r="Y52" s="106" t="b">
        <f>IF('Newtonus.Calculator.T Head.Pipe'!$G$20=7,Tot.Head!Y43)</f>
        <v>0</v>
      </c>
      <c r="Z52" s="106" t="b">
        <f>IF('Newtonus.Calculator.T Head.Pipe'!$G$20=7,Tot.Head!Z43)</f>
        <v>0</v>
      </c>
      <c r="AA52" s="106" t="b">
        <f>IF('Newtonus.Calculator.T Head.Pipe'!$G$20=7,Tot.Head!AA43)</f>
        <v>0</v>
      </c>
      <c r="AB52" s="106" t="b">
        <f>IF('Newtonus.Calculator.T Head.Pipe'!$G$20=7,Tot.Head!AB43)</f>
        <v>0</v>
      </c>
      <c r="AC52" s="106" t="b">
        <f>IF('Newtonus.Calculator.T Head.Pipe'!$G$20=7,Tot.Head!AC43)</f>
        <v>0</v>
      </c>
      <c r="AD52" s="106" t="b">
        <f>IF('Newtonus.Calculator.T Head.Pipe'!$G$20=7,Tot.Head!AD43)</f>
        <v>0</v>
      </c>
      <c r="AE52" s="106" t="b">
        <f>IF('Newtonus.Calculator.T Head.Pipe'!$G$20=7,Tot.Head!AE43)</f>
        <v>0</v>
      </c>
      <c r="AF52" s="106" t="b">
        <f>IF('Newtonus.Calculator.T Head.Pipe'!$G$20=7,Tot.Head!AF43)</f>
        <v>0</v>
      </c>
      <c r="AG52" s="106" t="b">
        <f>IF('Newtonus.Calculator.T Head.Pipe'!$G$20=7,Tot.Head!AG43)</f>
        <v>0</v>
      </c>
      <c r="AH52" s="104">
        <f t="shared" si="7"/>
        <v>0</v>
      </c>
    </row>
    <row r="53" spans="1:42" ht="3.75" customHeight="1" x14ac:dyDescent="0.2">
      <c r="A53" s="844"/>
      <c r="B53" s="59"/>
      <c r="C53" s="18"/>
      <c r="D53" s="18"/>
      <c r="E53" s="19"/>
      <c r="F53" s="19"/>
      <c r="G53" s="19"/>
      <c r="H53" s="129"/>
      <c r="I53" s="129"/>
      <c r="J53" s="129"/>
      <c r="K53" s="129"/>
      <c r="L53" s="113"/>
      <c r="M53" s="113"/>
      <c r="AH53" s="104"/>
    </row>
    <row r="54" spans="1:42" ht="14.25" customHeight="1" x14ac:dyDescent="0.2">
      <c r="A54" s="844"/>
      <c r="B54" s="840" t="s">
        <v>70</v>
      </c>
      <c r="C54" s="841"/>
      <c r="D54" s="841"/>
      <c r="E54" s="841"/>
      <c r="F54" s="841"/>
      <c r="G54" s="841"/>
      <c r="H54" s="129"/>
      <c r="I54" s="129"/>
      <c r="J54" s="129"/>
      <c r="K54" s="129"/>
      <c r="L54" s="159">
        <f>10.2-0.5-F32-F51-F42</f>
        <v>4.3545797807415489</v>
      </c>
      <c r="M54" s="113"/>
      <c r="O54" s="128" t="s">
        <v>120</v>
      </c>
      <c r="P54" s="128"/>
      <c r="AH54" s="104">
        <f>SUM(AH46:AH52)</f>
        <v>27.3</v>
      </c>
      <c r="AI54" s="87" t="s">
        <v>97</v>
      </c>
    </row>
    <row r="55" spans="1:42" ht="9.9499999999999993" customHeight="1" x14ac:dyDescent="0.2">
      <c r="A55" s="844"/>
      <c r="B55" s="66" t="s">
        <v>71</v>
      </c>
      <c r="C55" s="20"/>
      <c r="D55" s="20" t="s">
        <v>35</v>
      </c>
      <c r="E55" s="21" t="s">
        <v>0</v>
      </c>
      <c r="F55" s="21">
        <f>SUM(F11)</f>
        <v>1</v>
      </c>
      <c r="G55" s="121" t="s">
        <v>77</v>
      </c>
      <c r="H55" s="129"/>
      <c r="I55" s="166">
        <f>IF(AND(L$54&lt;0,L$56&lt;0),L54,0)</f>
        <v>0</v>
      </c>
      <c r="J55" s="129"/>
      <c r="K55" s="129"/>
      <c r="L55" s="113"/>
      <c r="M55" s="113"/>
      <c r="O55" s="99">
        <v>1</v>
      </c>
      <c r="P55" s="100" t="s">
        <v>94</v>
      </c>
      <c r="Q55" s="106" t="b">
        <f>IF('Newtonus.Calculator.T Head.Pipe'!$AR$27=1,Tot.Head!$Q$3)</f>
        <v>0</v>
      </c>
      <c r="R55" s="106" t="b">
        <f>IF('Newtonus.Calculator.T Head.Pipe'!$AR$27=2,Tot.Head!$R$3)</f>
        <v>0</v>
      </c>
      <c r="S55" s="106" t="b">
        <f>IF('Newtonus.Calculator.T Head.Pipe'!$AR$27=3,Tot.Head!$S$3)</f>
        <v>0</v>
      </c>
      <c r="T55" s="106">
        <f>IF('Newtonus.Calculator.T Head.Pipe'!$AR$27=4,Tot.Head!$T$3)</f>
        <v>29.3</v>
      </c>
      <c r="U55" s="106" t="b">
        <f>IF('Newtonus.Calculator.T Head.Pipe'!$AR$27=5,Tot.Head!$U$3)</f>
        <v>0</v>
      </c>
      <c r="V55" s="106" t="b">
        <f>IF('Newtonus.Calculator.T Head.Pipe'!$AR$27=6,Tot.Head!$V$3)</f>
        <v>0</v>
      </c>
      <c r="W55" s="106" t="b">
        <f>IF('Newtonus.Calculator.T Head.Pipe'!$AR$27=7,Tot.Head!$W$3)</f>
        <v>0</v>
      </c>
      <c r="X55" s="106" t="b">
        <f>IF('Newtonus.Calculator.T Head.Pipe'!$AR$27=8,Tot.Head!$X$3)</f>
        <v>0</v>
      </c>
      <c r="Y55" s="106" t="b">
        <f>IF('Newtonus.Calculator.T Head.Pipe'!$AR$27=9,Tot.Head!$Y$3)</f>
        <v>0</v>
      </c>
      <c r="Z55" s="106" t="b">
        <f>IF('Newtonus.Calculator.T Head.Pipe'!$AR$27=10,Tot.Head!$Z$3)</f>
        <v>0</v>
      </c>
      <c r="AA55" s="106" t="b">
        <f>IF('Newtonus.Calculator.T Head.Pipe'!$AR$27=11,Tot.Head!$AA$3)</f>
        <v>0</v>
      </c>
      <c r="AB55" s="106" t="b">
        <f>IF('Newtonus.Calculator.T Head.Pipe'!$AR$27=12,Tot.Head!$AB$3)</f>
        <v>0</v>
      </c>
      <c r="AC55" s="106" t="b">
        <f>IF('Newtonus.Calculator.T Head.Pipe'!$AR$27=13,Tot.Head!$AC$3)</f>
        <v>0</v>
      </c>
      <c r="AD55" s="106" t="b">
        <f>IF('Newtonus.Calculator.T Head.Pipe'!$AR$27=14,Tot.Head!$AD$3)</f>
        <v>0</v>
      </c>
      <c r="AE55" s="106" t="b">
        <f>IF('Newtonus.Calculator.T Head.Pipe'!$AR$27=15,Tot.Head!$AE$3)</f>
        <v>0</v>
      </c>
      <c r="AF55" s="106" t="b">
        <f>IF('Newtonus.Calculator.T Head.Pipe'!$AR$27=16,Tot.Head!$AF$3)</f>
        <v>0</v>
      </c>
      <c r="AG55" s="106" t="b">
        <f>IF('Newtonus.Calculator.T Head.Pipe'!$AR$27=17,Tot.Head!$AG$3)</f>
        <v>0</v>
      </c>
      <c r="AH55" s="106" t="s">
        <v>98</v>
      </c>
    </row>
    <row r="56" spans="1:42" ht="9.9499999999999993" customHeight="1" x14ac:dyDescent="0.2">
      <c r="A56" s="844"/>
      <c r="B56" s="66" t="s">
        <v>62</v>
      </c>
      <c r="C56" s="20"/>
      <c r="D56" s="20" t="s">
        <v>74</v>
      </c>
      <c r="E56" s="21" t="s">
        <v>0</v>
      </c>
      <c r="F56" s="76">
        <f>I58</f>
        <v>4.3545797807415489</v>
      </c>
      <c r="G56" s="121" t="s">
        <v>1</v>
      </c>
      <c r="H56" s="129"/>
      <c r="I56" s="166">
        <f>IF(AND(L$54&gt;0,L$56&gt;0),L56,0)</f>
        <v>4.3545797807415489</v>
      </c>
      <c r="J56" s="129"/>
      <c r="K56" s="129"/>
      <c r="L56" s="76">
        <f>SUM((10.2)-(0.5)-($F$32)-($F$51)-($L$42))</f>
        <v>4.3545797807415489</v>
      </c>
      <c r="M56" s="113"/>
      <c r="O56" s="99">
        <v>2</v>
      </c>
      <c r="P56" s="100" t="s">
        <v>103</v>
      </c>
      <c r="Q56" s="106" t="b">
        <f>IF('Newtonus.Calculator.T Head.Pipe'!$AR$27=1,Tot.Head!Q4)</f>
        <v>0</v>
      </c>
      <c r="R56" s="106" t="b">
        <f>IF('Newtonus.Calculator.T Head.Pipe'!$AR$27=2,Tot.Head!R4)</f>
        <v>0</v>
      </c>
      <c r="S56" s="106" t="b">
        <f>IF('Newtonus.Calculator.T Head.Pipe'!$AR$27=3,Tot.Head!S4)</f>
        <v>0</v>
      </c>
      <c r="T56" s="106">
        <f>IF('Newtonus.Calculator.T Head.Pipe'!$AR$27=4,Tot.Head!T4)</f>
        <v>35.1</v>
      </c>
      <c r="U56" s="106" t="b">
        <f>IF('Newtonus.Calculator.T Head.Pipe'!$AR$27=5,Tot.Head!U4)</f>
        <v>0</v>
      </c>
      <c r="V56" s="106" t="b">
        <f>IF('Newtonus.Calculator.T Head.Pipe'!$AR$27=6,Tot.Head!V4)</f>
        <v>0</v>
      </c>
      <c r="W56" s="106" t="b">
        <f>IF('Newtonus.Calculator.T Head.Pipe'!$AR$27=7,Tot.Head!W4)</f>
        <v>0</v>
      </c>
      <c r="X56" s="106" t="b">
        <f>IF('Newtonus.Calculator.T Head.Pipe'!$AR$27=8,Tot.Head!X4)</f>
        <v>0</v>
      </c>
      <c r="Y56" s="106" t="b">
        <f>IF('Newtonus.Calculator.T Head.Pipe'!$AR$27=9,Tot.Head!Y4)</f>
        <v>0</v>
      </c>
      <c r="Z56" s="106" t="b">
        <f>IF('Newtonus.Calculator.T Head.Pipe'!$AR$27=10,Tot.Head!Z4)</f>
        <v>0</v>
      </c>
      <c r="AA56" s="106" t="b">
        <f>IF('Newtonus.Calculator.T Head.Pipe'!$AR$27=11,Tot.Head!AA4)</f>
        <v>0</v>
      </c>
      <c r="AB56" s="106" t="b">
        <f>IF('Newtonus.Calculator.T Head.Pipe'!$AR$27=12,Tot.Head!AB4)</f>
        <v>0</v>
      </c>
      <c r="AC56" s="106" t="b">
        <f>IF('Newtonus.Calculator.T Head.Pipe'!$AR$27=13,Tot.Head!AC4)</f>
        <v>0</v>
      </c>
      <c r="AD56" s="106" t="b">
        <f>IF('Newtonus.Calculator.T Head.Pipe'!$AR$27=14,Tot.Head!AD4)</f>
        <v>0</v>
      </c>
      <c r="AE56" s="106" t="b">
        <f>IF('Newtonus.Calculator.T Head.Pipe'!$AR$27=15,Tot.Head!AE4)</f>
        <v>0</v>
      </c>
      <c r="AF56" s="106" t="b">
        <f>IF('Newtonus.Calculator.T Head.Pipe'!$AR$27=16,Tot.Head!AF4)</f>
        <v>0</v>
      </c>
      <c r="AG56" s="106" t="b">
        <f>IF('Newtonus.Calculator.T Head.Pipe'!$AR$27=17,Tot.Head!AG4)</f>
        <v>0</v>
      </c>
      <c r="AP56" s="108">
        <f>F32+F51+F42</f>
        <v>5.3454202192584503</v>
      </c>
    </row>
    <row r="57" spans="1:42" ht="9.9499999999999993" customHeight="1" x14ac:dyDescent="0.2">
      <c r="A57" s="844"/>
      <c r="B57" s="66"/>
      <c r="C57" s="20"/>
      <c r="D57" s="23" t="s">
        <v>159</v>
      </c>
      <c r="E57" s="117" t="s">
        <v>0</v>
      </c>
      <c r="F57" s="153">
        <f>SUM((10.2)-(0.5)-($F$32)-($F$51))</f>
        <v>6.2674179999999993</v>
      </c>
      <c r="G57" s="154">
        <f>IF($F$57&gt;=-F68,F68,IF($F$58&lt;$F$59,-$F$57,IF(AND($F$58&gt;$F$59,$F$57&lt;=-F68),-$F$57,F68)))</f>
        <v>1</v>
      </c>
      <c r="H57" s="158">
        <f>IF($F$57&gt;=-F69,F69,IF($F$58&lt;$F$59,-$F$57,IF(AND($F$58&gt;$F$59,$F$57&lt;=-F69),-$F$57,F69)))</f>
        <v>0.3</v>
      </c>
      <c r="I57" s="166">
        <f>IF(AND(L$54&gt;0,L$56&lt;0),-L56,0)</f>
        <v>0</v>
      </c>
      <c r="J57" s="129"/>
      <c r="K57" s="129"/>
      <c r="L57" s="145">
        <f>'Newtonus.Calculator.T Head.Pipe'!G34</f>
        <v>1</v>
      </c>
      <c r="M57" s="113"/>
      <c r="O57" s="99">
        <v>3</v>
      </c>
      <c r="P57" s="100" t="s">
        <v>102</v>
      </c>
      <c r="Q57" s="106" t="b">
        <f>IF('Newtonus.Calculator.T Head.Pipe'!$AR$27=1,Tot.Head!Q5)</f>
        <v>0</v>
      </c>
      <c r="R57" s="106" t="b">
        <f>IF('Newtonus.Calculator.T Head.Pipe'!$AR$27=2,Tot.Head!R5)</f>
        <v>0</v>
      </c>
      <c r="S57" s="106" t="b">
        <f>IF('Newtonus.Calculator.T Head.Pipe'!$AR$27=3,Tot.Head!S5)</f>
        <v>0</v>
      </c>
      <c r="T57" s="106">
        <f>IF('Newtonus.Calculator.T Head.Pipe'!$AR$27=4,Tot.Head!T5)</f>
        <v>36</v>
      </c>
      <c r="U57" s="106" t="b">
        <f>IF('Newtonus.Calculator.T Head.Pipe'!$AR$27=5,Tot.Head!U5)</f>
        <v>0</v>
      </c>
      <c r="V57" s="106" t="b">
        <f>IF('Newtonus.Calculator.T Head.Pipe'!$AR$27=6,Tot.Head!V5)</f>
        <v>0</v>
      </c>
      <c r="W57" s="106" t="b">
        <f>IF('Newtonus.Calculator.T Head.Pipe'!$AR$27=7,Tot.Head!W5)</f>
        <v>0</v>
      </c>
      <c r="X57" s="106" t="b">
        <f>IF('Newtonus.Calculator.T Head.Pipe'!$AR$27=8,Tot.Head!X5)</f>
        <v>0</v>
      </c>
      <c r="Y57" s="106" t="b">
        <f>IF('Newtonus.Calculator.T Head.Pipe'!$AR$27=9,Tot.Head!Y5)</f>
        <v>0</v>
      </c>
      <c r="Z57" s="106" t="b">
        <f>IF('Newtonus.Calculator.T Head.Pipe'!$AR$27=10,Tot.Head!Z5)</f>
        <v>0</v>
      </c>
      <c r="AA57" s="106" t="b">
        <f>IF('Newtonus.Calculator.T Head.Pipe'!$AR$27=11,Tot.Head!AA5)</f>
        <v>0</v>
      </c>
      <c r="AB57" s="106" t="b">
        <f>IF('Newtonus.Calculator.T Head.Pipe'!$AR$27=12,Tot.Head!AB5)</f>
        <v>0</v>
      </c>
      <c r="AC57" s="106" t="b">
        <f>IF('Newtonus.Calculator.T Head.Pipe'!$AR$27=13,Tot.Head!AC5)</f>
        <v>0</v>
      </c>
      <c r="AD57" s="106" t="b">
        <f>IF('Newtonus.Calculator.T Head.Pipe'!$AR$27=14,Tot.Head!AD5)</f>
        <v>0</v>
      </c>
      <c r="AE57" s="106" t="b">
        <f>IF('Newtonus.Calculator.T Head.Pipe'!$AR$27=15,Tot.Head!AE5)</f>
        <v>0</v>
      </c>
      <c r="AF57" s="106" t="b">
        <f>IF('Newtonus.Calculator.T Head.Pipe'!$AR$27=16,Tot.Head!AF5)</f>
        <v>0</v>
      </c>
      <c r="AG57" s="106" t="b">
        <f>IF('Newtonus.Calculator.T Head.Pipe'!$AR$27=17,Tot.Head!AG5)</f>
        <v>0</v>
      </c>
    </row>
    <row r="58" spans="1:42" ht="9.9499999999999993" customHeight="1" x14ac:dyDescent="0.2">
      <c r="A58" s="844"/>
      <c r="B58" s="66" t="s">
        <v>1</v>
      </c>
      <c r="C58" s="20"/>
      <c r="D58" s="20" t="s">
        <v>17</v>
      </c>
      <c r="E58" s="21" t="s">
        <v>0</v>
      </c>
      <c r="F58" s="153">
        <f ca="1">IF(D72&lt;=D71,0,IF('Newtonus.Calculator.T Head.Pipe'!G18=2,F60,IF('Newtonus.Calculator.T Head.Pipe'!G18=3,F60,IF('Newtonus.Calculator.T Head.Pipe'!G18=1,((10.2)-(0.5)-(F32)-(F11)-(F42)),IF('Newtonus.Calculator.T Head.Pipe'!G18&gt;=3,((10.2)-(0.5)-(F32)-(F11)-(F42)),)))))</f>
        <v>6.3545797807415489</v>
      </c>
      <c r="G58" s="121" t="s">
        <v>73</v>
      </c>
      <c r="H58" s="129"/>
      <c r="I58" s="167">
        <f>I57+I56+I55</f>
        <v>4.3545797807415489</v>
      </c>
      <c r="J58" s="129"/>
      <c r="K58" s="129"/>
      <c r="L58" s="145">
        <f>'Newtonus.Calculator.T Head.Pipe'!G18</f>
        <v>1</v>
      </c>
      <c r="M58" s="113"/>
      <c r="O58" s="99">
        <v>4</v>
      </c>
      <c r="P58" s="87" t="s">
        <v>95</v>
      </c>
      <c r="Q58" s="106" t="b">
        <f>IF('Newtonus.Calculator.T Head.Pipe'!$AR$27=1,Tot.Head!Q6)</f>
        <v>0</v>
      </c>
      <c r="R58" s="106" t="b">
        <f>IF('Newtonus.Calculator.T Head.Pipe'!$AR$27=2,Tot.Head!R6)</f>
        <v>0</v>
      </c>
      <c r="S58" s="106" t="b">
        <f>IF('Newtonus.Calculator.T Head.Pipe'!$AR$27=3,Tot.Head!S6)</f>
        <v>0</v>
      </c>
      <c r="T58" s="106">
        <f>IF('Newtonus.Calculator.T Head.Pipe'!$AR$27=4,Tot.Head!T6)</f>
        <v>29.3</v>
      </c>
      <c r="U58" s="106" t="b">
        <f>IF('Newtonus.Calculator.T Head.Pipe'!$AR$27=5,Tot.Head!U6)</f>
        <v>0</v>
      </c>
      <c r="V58" s="106" t="b">
        <f>IF('Newtonus.Calculator.T Head.Pipe'!$AR$27=6,Tot.Head!V6)</f>
        <v>0</v>
      </c>
      <c r="W58" s="106" t="b">
        <f>IF('Newtonus.Calculator.T Head.Pipe'!$AR$27=7,Tot.Head!W6)</f>
        <v>0</v>
      </c>
      <c r="X58" s="106" t="b">
        <f>IF('Newtonus.Calculator.T Head.Pipe'!$AR$27=8,Tot.Head!X6)</f>
        <v>0</v>
      </c>
      <c r="Y58" s="106" t="b">
        <f>IF('Newtonus.Calculator.T Head.Pipe'!$AR$27=9,Tot.Head!Y6)</f>
        <v>0</v>
      </c>
      <c r="Z58" s="106" t="b">
        <f>IF('Newtonus.Calculator.T Head.Pipe'!$AR$27=10,Tot.Head!Z6)</f>
        <v>0</v>
      </c>
      <c r="AA58" s="106" t="b">
        <f>IF('Newtonus.Calculator.T Head.Pipe'!$AR$27=11,Tot.Head!AA6)</f>
        <v>0</v>
      </c>
      <c r="AB58" s="106" t="b">
        <f>IF('Newtonus.Calculator.T Head.Pipe'!$AR$27=12,Tot.Head!AB6)</f>
        <v>0</v>
      </c>
      <c r="AC58" s="106" t="b">
        <f>IF('Newtonus.Calculator.T Head.Pipe'!$AR$27=13,Tot.Head!AC6)</f>
        <v>0</v>
      </c>
      <c r="AD58" s="106" t="b">
        <f>IF('Newtonus.Calculator.T Head.Pipe'!$AR$27=14,Tot.Head!AD6)</f>
        <v>0</v>
      </c>
      <c r="AE58" s="106" t="b">
        <f>IF('Newtonus.Calculator.T Head.Pipe'!$AR$27=15,Tot.Head!AE6)</f>
        <v>0</v>
      </c>
      <c r="AF58" s="106" t="b">
        <f>IF('Newtonus.Calculator.T Head.Pipe'!$AR$27=16,Tot.Head!AF6)</f>
        <v>0</v>
      </c>
      <c r="AG58" s="106" t="b">
        <f>IF('Newtonus.Calculator.T Head.Pipe'!$AR$27=17,Tot.Head!AG6)</f>
        <v>0</v>
      </c>
    </row>
    <row r="59" spans="1:42" ht="9.9499999999999993" customHeight="1" x14ac:dyDescent="0.2">
      <c r="A59" s="844"/>
      <c r="B59" s="66"/>
      <c r="C59" s="20"/>
      <c r="D59" s="20" t="s">
        <v>18</v>
      </c>
      <c r="E59" s="21" t="s">
        <v>0</v>
      </c>
      <c r="F59" s="21">
        <f>SUM(F51)</f>
        <v>3</v>
      </c>
      <c r="G59" s="121" t="s">
        <v>64</v>
      </c>
      <c r="H59" s="129"/>
      <c r="I59" s="129"/>
      <c r="J59" s="129"/>
      <c r="K59" s="129"/>
      <c r="L59" s="113"/>
      <c r="M59" s="113"/>
      <c r="O59" s="99">
        <v>5</v>
      </c>
      <c r="P59" s="100" t="s">
        <v>96</v>
      </c>
      <c r="Q59" s="106" t="b">
        <f>IF('Newtonus.Calculator.T Head.Pipe'!$AR$27=1,Tot.Head!Q7)</f>
        <v>0</v>
      </c>
      <c r="R59" s="106" t="b">
        <f>IF('Newtonus.Calculator.T Head.Pipe'!$AR$27=2,Tot.Head!R7)</f>
        <v>0</v>
      </c>
      <c r="S59" s="106" t="b">
        <f>IF('Newtonus.Calculator.T Head.Pipe'!$AR$27=3,Tot.Head!S7)</f>
        <v>0</v>
      </c>
      <c r="T59" s="106">
        <f>IF('Newtonus.Calculator.T Head.Pipe'!$AR$27=4,Tot.Head!T7)</f>
        <v>32</v>
      </c>
      <c r="U59" s="106" t="b">
        <f>IF('Newtonus.Calculator.T Head.Pipe'!$AR$27=5,Tot.Head!U7)</f>
        <v>0</v>
      </c>
      <c r="V59" s="106" t="b">
        <f>IF('Newtonus.Calculator.T Head.Pipe'!$AR$27=6,Tot.Head!V7)</f>
        <v>0</v>
      </c>
      <c r="W59" s="106" t="b">
        <f>IF('Newtonus.Calculator.T Head.Pipe'!$AR$27=7,Tot.Head!W7)</f>
        <v>0</v>
      </c>
      <c r="X59" s="106" t="b">
        <f>IF('Newtonus.Calculator.T Head.Pipe'!$AR$27=8,Tot.Head!X7)</f>
        <v>0</v>
      </c>
      <c r="Y59" s="106" t="b">
        <f>IF('Newtonus.Calculator.T Head.Pipe'!$AR$27=9,Tot.Head!Y7)</f>
        <v>0</v>
      </c>
      <c r="Z59" s="106" t="b">
        <f>IF('Newtonus.Calculator.T Head.Pipe'!$AR$27=10,Tot.Head!Z7)</f>
        <v>0</v>
      </c>
      <c r="AA59" s="106" t="b">
        <f>IF('Newtonus.Calculator.T Head.Pipe'!$AR$27=11,Tot.Head!AA7)</f>
        <v>0</v>
      </c>
      <c r="AB59" s="106" t="b">
        <f>IF('Newtonus.Calculator.T Head.Pipe'!$AR$27=12,Tot.Head!AB7)</f>
        <v>0</v>
      </c>
      <c r="AC59" s="106" t="b">
        <f>IF('Newtonus.Calculator.T Head.Pipe'!$AR$27=13,Tot.Head!AC7)</f>
        <v>0</v>
      </c>
      <c r="AD59" s="106" t="b">
        <f>IF('Newtonus.Calculator.T Head.Pipe'!$AR$27=14,Tot.Head!AD7)</f>
        <v>0</v>
      </c>
      <c r="AE59" s="106" t="b">
        <f>IF('Newtonus.Calculator.T Head.Pipe'!$AR$27=15,Tot.Head!AE7)</f>
        <v>0</v>
      </c>
      <c r="AF59" s="106" t="b">
        <f>IF('Newtonus.Calculator.T Head.Pipe'!$AR$27=16,Tot.Head!AF7)</f>
        <v>0</v>
      </c>
      <c r="AG59" s="106" t="b">
        <f>IF('Newtonus.Calculator.T Head.Pipe'!$AR$27=17,Tot.Head!AG7)</f>
        <v>0</v>
      </c>
    </row>
    <row r="60" spans="1:42" ht="9.9499999999999993" customHeight="1" x14ac:dyDescent="0.2">
      <c r="A60" s="844"/>
      <c r="B60" s="66"/>
      <c r="C60" s="20"/>
      <c r="D60" s="23" t="s">
        <v>162</v>
      </c>
      <c r="E60" s="23"/>
      <c r="F60" s="153">
        <f ca="1">IF(D72&lt;=D71,0,IF(D72&gt;D71,((10.2)-(0.5)-(F32)-(F14)),))</f>
        <v>13.267417999999999</v>
      </c>
      <c r="G60" s="117"/>
      <c r="H60" s="129"/>
      <c r="I60" s="76">
        <f>IF($L$54&gt;0,$L$56,IF($L$57&gt;0,((10.2)-(0.5)-($F$32)-($F$51)-($F$42)),IF($L$57=0,$L$56,)))</f>
        <v>4.3545797807415489</v>
      </c>
      <c r="J60" s="129"/>
      <c r="K60" s="129"/>
      <c r="L60" s="76">
        <f>IF($L$54&gt;0,$L$56,IF($L$57&gt;0,((10.2)-(0.5)-($F$32)-($F$51)-($F$42)),IF($L$57=0,$L$56,)))</f>
        <v>4.3545797807415489</v>
      </c>
      <c r="M60" s="113"/>
      <c r="O60" s="99">
        <v>6</v>
      </c>
      <c r="P60" s="100" t="s">
        <v>117</v>
      </c>
      <c r="Q60" s="106" t="b">
        <f>IF('Newtonus.Calculator.T Head.Pipe'!$AR$27=1,Tot.Head!Q8)</f>
        <v>0</v>
      </c>
      <c r="R60" s="106" t="b">
        <f>IF('Newtonus.Calculator.T Head.Pipe'!$AR$27=2,Tot.Head!R8)</f>
        <v>0</v>
      </c>
      <c r="S60" s="106" t="b">
        <f>IF('Newtonus.Calculator.T Head.Pipe'!$AR$27=3,Tot.Head!S8)</f>
        <v>0</v>
      </c>
      <c r="T60" s="106">
        <f>IF('Newtonus.Calculator.T Head.Pipe'!$AR$27=4,Tot.Head!T8)</f>
        <v>28.1</v>
      </c>
      <c r="U60" s="106" t="b">
        <f>IF('Newtonus.Calculator.T Head.Pipe'!$AR$27=5,Tot.Head!U8)</f>
        <v>0</v>
      </c>
      <c r="V60" s="106" t="b">
        <f>IF('Newtonus.Calculator.T Head.Pipe'!$AR$27=6,Tot.Head!V8)</f>
        <v>0</v>
      </c>
      <c r="W60" s="106" t="b">
        <f>IF('Newtonus.Calculator.T Head.Pipe'!$AR$27=7,Tot.Head!W8)</f>
        <v>0</v>
      </c>
      <c r="X60" s="106" t="b">
        <f>IF('Newtonus.Calculator.T Head.Pipe'!$AR$27=8,Tot.Head!X8)</f>
        <v>0</v>
      </c>
      <c r="Y60" s="106" t="b">
        <f>IF('Newtonus.Calculator.T Head.Pipe'!$AR$27=9,Tot.Head!Y8)</f>
        <v>0</v>
      </c>
      <c r="Z60" s="106" t="b">
        <f>IF('Newtonus.Calculator.T Head.Pipe'!$AR$27=10,Tot.Head!Z8)</f>
        <v>0</v>
      </c>
      <c r="AA60" s="106" t="b">
        <f>IF('Newtonus.Calculator.T Head.Pipe'!$AR$27=11,Tot.Head!AA8)</f>
        <v>0</v>
      </c>
      <c r="AB60" s="106" t="b">
        <f>IF('Newtonus.Calculator.T Head.Pipe'!$AR$27=12,Tot.Head!AB8)</f>
        <v>0</v>
      </c>
      <c r="AC60" s="106" t="b">
        <f>IF('Newtonus.Calculator.T Head.Pipe'!$AR$27=13,Tot.Head!AC8)</f>
        <v>0</v>
      </c>
      <c r="AD60" s="106" t="b">
        <f>IF('Newtonus.Calculator.T Head.Pipe'!$AR$27=14,Tot.Head!AD8)</f>
        <v>0</v>
      </c>
      <c r="AE60" s="106" t="b">
        <f>IF('Newtonus.Calculator.T Head.Pipe'!$AR$27=15,Tot.Head!AE8)</f>
        <v>0</v>
      </c>
      <c r="AF60" s="106" t="b">
        <f>IF('Newtonus.Calculator.T Head.Pipe'!$AR$27=16,Tot.Head!AF8)</f>
        <v>0</v>
      </c>
      <c r="AG60" s="106" t="b">
        <f>IF('Newtonus.Calculator.T Head.Pipe'!$AR$27=17,Tot.Head!AG8)</f>
        <v>0</v>
      </c>
    </row>
    <row r="61" spans="1:42" ht="9.9499999999999993" customHeight="1" x14ac:dyDescent="0.2">
      <c r="A61" s="844"/>
      <c r="B61" s="66" t="s">
        <v>69</v>
      </c>
      <c r="C61" s="20"/>
      <c r="D61" s="20" t="s">
        <v>19</v>
      </c>
      <c r="E61" s="21" t="s">
        <v>9</v>
      </c>
      <c r="F61" s="21">
        <f>SUM(F22)</f>
        <v>32</v>
      </c>
      <c r="G61" s="121" t="s">
        <v>65</v>
      </c>
      <c r="H61" s="78">
        <f>SUM(H22)</f>
        <v>0</v>
      </c>
      <c r="I61" s="129"/>
      <c r="J61" s="21">
        <f>SUM(J22)</f>
        <v>0</v>
      </c>
      <c r="K61" s="129"/>
      <c r="L61" s="113"/>
      <c r="M61" s="113"/>
      <c r="O61" s="99">
        <v>7</v>
      </c>
      <c r="P61" s="100" t="s">
        <v>116</v>
      </c>
      <c r="Q61" s="106" t="b">
        <f>IF('Newtonus.Calculator.T Head.Pipe'!$AR$27=1,Tot.Head!Q9)</f>
        <v>0</v>
      </c>
      <c r="R61" s="106" t="b">
        <f>IF('Newtonus.Calculator.T Head.Pipe'!$AR$27=2,Tot.Head!R9)</f>
        <v>0</v>
      </c>
      <c r="S61" s="106" t="b">
        <f>IF('Newtonus.Calculator.T Head.Pipe'!$AR$27=3,Tot.Head!S9)</f>
        <v>0</v>
      </c>
      <c r="T61" s="106">
        <f>IF('Newtonus.Calculator.T Head.Pipe'!$AR$27=4,Tot.Head!T9)</f>
        <v>36.4</v>
      </c>
      <c r="U61" s="106" t="b">
        <f>IF('Newtonus.Calculator.T Head.Pipe'!$AR$27=5,Tot.Head!U9)</f>
        <v>0</v>
      </c>
      <c r="V61" s="106" t="b">
        <f>IF('Newtonus.Calculator.T Head.Pipe'!$AR$27=6,Tot.Head!V9)</f>
        <v>0</v>
      </c>
      <c r="W61" s="106" t="b">
        <f>IF('Newtonus.Calculator.T Head.Pipe'!$AR$27=7,Tot.Head!W9)</f>
        <v>0</v>
      </c>
      <c r="X61" s="106" t="b">
        <f>IF('Newtonus.Calculator.T Head.Pipe'!$AR$27=8,Tot.Head!X9)</f>
        <v>0</v>
      </c>
      <c r="Y61" s="106" t="b">
        <f>IF('Newtonus.Calculator.T Head.Pipe'!$AR$27=9,Tot.Head!Y9)</f>
        <v>0</v>
      </c>
      <c r="Z61" s="106" t="b">
        <f>IF('Newtonus.Calculator.T Head.Pipe'!$AR$27=10,Tot.Head!Z9)</f>
        <v>0</v>
      </c>
      <c r="AA61" s="106" t="b">
        <f>IF('Newtonus.Calculator.T Head.Pipe'!$AR$27=11,Tot.Head!AA9)</f>
        <v>0</v>
      </c>
      <c r="AB61" s="106" t="b">
        <f>IF('Newtonus.Calculator.T Head.Pipe'!$AR$27=12,Tot.Head!AB9)</f>
        <v>0</v>
      </c>
      <c r="AC61" s="106" t="b">
        <f>IF('Newtonus.Calculator.T Head.Pipe'!$AR$27=13,Tot.Head!AC9)</f>
        <v>0</v>
      </c>
      <c r="AD61" s="106" t="b">
        <f>IF('Newtonus.Calculator.T Head.Pipe'!$AR$27=14,Tot.Head!AD9)</f>
        <v>0</v>
      </c>
      <c r="AE61" s="106" t="b">
        <f>IF('Newtonus.Calculator.T Head.Pipe'!$AR$27=15,Tot.Head!AE9)</f>
        <v>0</v>
      </c>
      <c r="AF61" s="106" t="b">
        <f>IF('Newtonus.Calculator.T Head.Pipe'!$AR$27=16,Tot.Head!AF9)</f>
        <v>0</v>
      </c>
      <c r="AG61" s="106" t="b">
        <f>IF('Newtonus.Calculator.T Head.Pipe'!$AR$27=17,Tot.Head!AG9)</f>
        <v>0</v>
      </c>
    </row>
    <row r="62" spans="1:42" ht="9.9499999999999993" customHeight="1" x14ac:dyDescent="0.2">
      <c r="A62" s="844"/>
      <c r="B62" s="66" t="s">
        <v>14</v>
      </c>
      <c r="C62" s="20"/>
      <c r="D62" s="20" t="s">
        <v>20</v>
      </c>
      <c r="E62" s="21" t="s">
        <v>10</v>
      </c>
      <c r="F62" s="76">
        <f>SUM(((F$8)*4)/((3.14*(G22)^2)))*1000</f>
        <v>1.365189313517339</v>
      </c>
      <c r="G62" s="121" t="s">
        <v>67</v>
      </c>
      <c r="H62" s="138">
        <f>IF('Newtonus.Calculator.T Head.Pipe'!AU23&lt;=0,0,IF('Newtonus.Calculator.T Head.Pipe'!AU23&gt;0,SUM(((H$8)*4)/((3.14*(I22)^2)))*1000,))</f>
        <v>0</v>
      </c>
      <c r="I62" s="129"/>
      <c r="J62" s="76">
        <f>IF('Newtonus.Calculator.T Head.Pipe'!AX23&lt;=0,0,IF('Newtonus.Calculator.T Head.Pipe'!AX23&gt;0,SUM(((J$8)*4)/((3.14*(K22)^2)))*1000,))</f>
        <v>0</v>
      </c>
      <c r="K62" s="129"/>
      <c r="L62" s="113"/>
      <c r="M62" s="113"/>
    </row>
    <row r="63" spans="1:42" ht="9.9499999999999993" customHeight="1" x14ac:dyDescent="0.2">
      <c r="A63" s="844"/>
      <c r="B63" s="66" t="s">
        <v>15</v>
      </c>
      <c r="C63" s="20"/>
      <c r="D63" s="20"/>
      <c r="E63" s="21"/>
      <c r="F63" s="76"/>
      <c r="G63" s="121"/>
      <c r="H63" s="129"/>
      <c r="I63" s="129"/>
      <c r="J63" s="129"/>
      <c r="K63" s="129"/>
      <c r="L63" s="113"/>
      <c r="M63" s="113"/>
      <c r="O63" s="99">
        <v>1</v>
      </c>
      <c r="P63" s="100" t="s">
        <v>94</v>
      </c>
      <c r="Q63" s="106" t="b">
        <f>IF('Newtonus.Calculator.T Head.Pipe'!$AR$23=1,Tot.Head!Q55)</f>
        <v>0</v>
      </c>
      <c r="R63" s="106" t="b">
        <f>IF('Newtonus.Calculator.T Head.Pipe'!$AR$23=1,Tot.Head!R55)</f>
        <v>0</v>
      </c>
      <c r="S63" s="106" t="b">
        <f>IF('Newtonus.Calculator.T Head.Pipe'!$AR$23=1,Tot.Head!S55)</f>
        <v>0</v>
      </c>
      <c r="T63" s="106" t="b">
        <f>IF('Newtonus.Calculator.T Head.Pipe'!$AR$23=1,Tot.Head!T55)</f>
        <v>0</v>
      </c>
      <c r="U63" s="106" t="b">
        <f>IF('Newtonus.Calculator.T Head.Pipe'!$AR$23=1,Tot.Head!U55)</f>
        <v>0</v>
      </c>
      <c r="V63" s="106" t="b">
        <f>IF('Newtonus.Calculator.T Head.Pipe'!$AR$23=1,Tot.Head!V55)</f>
        <v>0</v>
      </c>
      <c r="W63" s="106" t="b">
        <f>IF('Newtonus.Calculator.T Head.Pipe'!$AR$23=1,Tot.Head!W55)</f>
        <v>0</v>
      </c>
      <c r="X63" s="106" t="b">
        <f>IF('Newtonus.Calculator.T Head.Pipe'!$AR$23=1,Tot.Head!X55)</f>
        <v>0</v>
      </c>
      <c r="Y63" s="106" t="b">
        <f>IF('Newtonus.Calculator.T Head.Pipe'!$AR$23=1,Tot.Head!Y55)</f>
        <v>0</v>
      </c>
      <c r="Z63" s="106" t="b">
        <f>IF('Newtonus.Calculator.T Head.Pipe'!$AR$23=1,Tot.Head!Z55)</f>
        <v>0</v>
      </c>
      <c r="AA63" s="106" t="b">
        <f>IF('Newtonus.Calculator.T Head.Pipe'!$AR$23=1,Tot.Head!AA55)</f>
        <v>0</v>
      </c>
      <c r="AB63" s="106" t="b">
        <f>IF('Newtonus.Calculator.T Head.Pipe'!$AR$23=1,Tot.Head!AB55)</f>
        <v>0</v>
      </c>
      <c r="AC63" s="106" t="b">
        <f>IF('Newtonus.Calculator.T Head.Pipe'!$AR$23=1,Tot.Head!AC55)</f>
        <v>0</v>
      </c>
      <c r="AD63" s="106" t="b">
        <f>IF('Newtonus.Calculator.T Head.Pipe'!$AR$23=1,Tot.Head!AD55)</f>
        <v>0</v>
      </c>
      <c r="AE63" s="106" t="b">
        <f>IF('Newtonus.Calculator.T Head.Pipe'!$AR$23=1,Tot.Head!AE55)</f>
        <v>0</v>
      </c>
      <c r="AF63" s="106" t="b">
        <f>IF('Newtonus.Calculator.T Head.Pipe'!$AR$23=1,Tot.Head!AF55)</f>
        <v>0</v>
      </c>
      <c r="AG63" s="106" t="b">
        <f>IF('Newtonus.Calculator.T Head.Pipe'!$AR$23=1,Tot.Head!AG55)</f>
        <v>0</v>
      </c>
      <c r="AH63" s="104">
        <f>SUM(Q63:AG63)</f>
        <v>0</v>
      </c>
    </row>
    <row r="64" spans="1:42" ht="9.9499999999999993" customHeight="1" x14ac:dyDescent="0.2">
      <c r="A64" s="844"/>
      <c r="B64" s="66"/>
      <c r="C64" s="20"/>
      <c r="D64" s="20" t="s">
        <v>21</v>
      </c>
      <c r="E64" s="21" t="s">
        <v>9</v>
      </c>
      <c r="F64" s="21">
        <f>SUM(F10)</f>
        <v>25</v>
      </c>
      <c r="G64" s="121" t="s">
        <v>65</v>
      </c>
      <c r="H64" s="129"/>
      <c r="I64" s="129"/>
      <c r="J64" s="129"/>
      <c r="K64" s="129"/>
      <c r="L64" s="113"/>
      <c r="M64" s="113"/>
      <c r="O64" s="99">
        <v>2</v>
      </c>
      <c r="P64" s="100" t="s">
        <v>103</v>
      </c>
      <c r="Q64" s="106" t="b">
        <f>IF('Newtonus.Calculator.T Head.Pipe'!$AR$23=2,Tot.Head!Q56)</f>
        <v>0</v>
      </c>
      <c r="R64" s="106" t="b">
        <f>IF('Newtonus.Calculator.T Head.Pipe'!$AR$23=2,Tot.Head!R56)</f>
        <v>0</v>
      </c>
      <c r="S64" s="106" t="b">
        <f>IF('Newtonus.Calculator.T Head.Pipe'!$AR$23=2,Tot.Head!S56)</f>
        <v>0</v>
      </c>
      <c r="T64" s="106" t="b">
        <f>IF('Newtonus.Calculator.T Head.Pipe'!$AR$23=2,Tot.Head!T56)</f>
        <v>0</v>
      </c>
      <c r="U64" s="106" t="b">
        <f>IF('Newtonus.Calculator.T Head.Pipe'!$AR$23=2,Tot.Head!U56)</f>
        <v>0</v>
      </c>
      <c r="V64" s="106" t="b">
        <f>IF('Newtonus.Calculator.T Head.Pipe'!$AR$23=2,Tot.Head!V56)</f>
        <v>0</v>
      </c>
      <c r="W64" s="106" t="b">
        <f>IF('Newtonus.Calculator.T Head.Pipe'!$AR$23=2,Tot.Head!W56)</f>
        <v>0</v>
      </c>
      <c r="X64" s="106" t="b">
        <f>IF('Newtonus.Calculator.T Head.Pipe'!$AR$23=2,Tot.Head!X56)</f>
        <v>0</v>
      </c>
      <c r="Y64" s="106" t="b">
        <f>IF('Newtonus.Calculator.T Head.Pipe'!$AR$23=2,Tot.Head!Y56)</f>
        <v>0</v>
      </c>
      <c r="Z64" s="106" t="b">
        <f>IF('Newtonus.Calculator.T Head.Pipe'!$AR$23=2,Tot.Head!Z56)</f>
        <v>0</v>
      </c>
      <c r="AA64" s="106" t="b">
        <f>IF('Newtonus.Calculator.T Head.Pipe'!$AR$23=2,Tot.Head!AA56)</f>
        <v>0</v>
      </c>
      <c r="AB64" s="106" t="b">
        <f>IF('Newtonus.Calculator.T Head.Pipe'!$AR$23=2,Tot.Head!AB56)</f>
        <v>0</v>
      </c>
      <c r="AC64" s="106" t="b">
        <f>IF('Newtonus.Calculator.T Head.Pipe'!$AR$23=2,Tot.Head!AC56)</f>
        <v>0</v>
      </c>
      <c r="AD64" s="106" t="b">
        <f>IF('Newtonus.Calculator.T Head.Pipe'!$AR$23=2,Tot.Head!AD56)</f>
        <v>0</v>
      </c>
      <c r="AE64" s="106" t="b">
        <f>IF('Newtonus.Calculator.T Head.Pipe'!$AR$23=2,Tot.Head!AE56)</f>
        <v>0</v>
      </c>
      <c r="AF64" s="106" t="b">
        <f>IF('Newtonus.Calculator.T Head.Pipe'!$AR$23=2,Tot.Head!AF56)</f>
        <v>0</v>
      </c>
      <c r="AG64" s="106" t="b">
        <f>IF('Newtonus.Calculator.T Head.Pipe'!$AR$23=2,Tot.Head!AG56)</f>
        <v>0</v>
      </c>
      <c r="AH64" s="104">
        <f t="shared" ref="AH64:AH69" si="8">SUM(Q64:AG64)</f>
        <v>0</v>
      </c>
    </row>
    <row r="65" spans="1:40" ht="9.9499999999999993" customHeight="1" x14ac:dyDescent="0.2">
      <c r="A65" s="844"/>
      <c r="B65" s="66" t="s">
        <v>1</v>
      </c>
      <c r="C65" s="20"/>
      <c r="D65" s="20" t="s">
        <v>20</v>
      </c>
      <c r="E65" s="21" t="s">
        <v>10</v>
      </c>
      <c r="F65" s="76">
        <f>SUM(((F$8)*4)/((3.14*(G10)^2)))*1000</f>
        <v>2.3739555747675016</v>
      </c>
      <c r="G65" s="121" t="s">
        <v>67</v>
      </c>
      <c r="H65" s="129"/>
      <c r="I65" s="129"/>
      <c r="J65" s="129"/>
      <c r="K65" s="129"/>
      <c r="L65" s="113"/>
      <c r="M65" s="113"/>
      <c r="O65" s="99">
        <v>3</v>
      </c>
      <c r="P65" s="100" t="s">
        <v>102</v>
      </c>
      <c r="Q65" s="106" t="b">
        <f>IF('Newtonus.Calculator.T Head.Pipe'!$AR$23=3,Tot.Head!Q57)</f>
        <v>0</v>
      </c>
      <c r="R65" s="106" t="b">
        <f>IF('Newtonus.Calculator.T Head.Pipe'!$AR$23=3,Tot.Head!R57)</f>
        <v>0</v>
      </c>
      <c r="S65" s="106" t="b">
        <f>IF('Newtonus.Calculator.T Head.Pipe'!$AR$23=3,Tot.Head!S57)</f>
        <v>0</v>
      </c>
      <c r="T65" s="106">
        <f>IF('Newtonus.Calculator.T Head.Pipe'!$AR$23=3,Tot.Head!T57)</f>
        <v>36</v>
      </c>
      <c r="U65" s="106" t="b">
        <f>IF('Newtonus.Calculator.T Head.Pipe'!$AR$23=3,Tot.Head!U57)</f>
        <v>0</v>
      </c>
      <c r="V65" s="106" t="b">
        <f>IF('Newtonus.Calculator.T Head.Pipe'!$AR$23=3,Tot.Head!V57)</f>
        <v>0</v>
      </c>
      <c r="W65" s="106" t="b">
        <f>IF('Newtonus.Calculator.T Head.Pipe'!$AR$23=3,Tot.Head!W57)</f>
        <v>0</v>
      </c>
      <c r="X65" s="106" t="b">
        <f>IF('Newtonus.Calculator.T Head.Pipe'!$AR$23=3,Tot.Head!X57)</f>
        <v>0</v>
      </c>
      <c r="Y65" s="106" t="b">
        <f>IF('Newtonus.Calculator.T Head.Pipe'!$AR$23=3,Tot.Head!Y57)</f>
        <v>0</v>
      </c>
      <c r="Z65" s="106" t="b">
        <f>IF('Newtonus.Calculator.T Head.Pipe'!$AR$23=3,Tot.Head!Z57)</f>
        <v>0</v>
      </c>
      <c r="AA65" s="106" t="b">
        <f>IF('Newtonus.Calculator.T Head.Pipe'!$AR$23=3,Tot.Head!AA57)</f>
        <v>0</v>
      </c>
      <c r="AB65" s="106" t="b">
        <f>IF('Newtonus.Calculator.T Head.Pipe'!$AR$23=3,Tot.Head!AB57)</f>
        <v>0</v>
      </c>
      <c r="AC65" s="106" t="b">
        <f>IF('Newtonus.Calculator.T Head.Pipe'!$AR$23=3,Tot.Head!AC57)</f>
        <v>0</v>
      </c>
      <c r="AD65" s="106" t="b">
        <f>IF('Newtonus.Calculator.T Head.Pipe'!$AR$23=3,Tot.Head!AD57)</f>
        <v>0</v>
      </c>
      <c r="AE65" s="106" t="b">
        <f>IF('Newtonus.Calculator.T Head.Pipe'!$AR$23=3,Tot.Head!AE57)</f>
        <v>0</v>
      </c>
      <c r="AF65" s="106" t="b">
        <f>IF('Newtonus.Calculator.T Head.Pipe'!$AR$23=3,Tot.Head!AF57)</f>
        <v>0</v>
      </c>
      <c r="AG65" s="106" t="b">
        <f>IF('Newtonus.Calculator.T Head.Pipe'!$AR$23=3,Tot.Head!AG57)</f>
        <v>0</v>
      </c>
      <c r="AH65" s="104">
        <f t="shared" si="8"/>
        <v>36</v>
      </c>
    </row>
    <row r="66" spans="1:40" ht="9.9499999999999993" customHeight="1" thickBot="1" x14ac:dyDescent="0.25">
      <c r="A66" s="845"/>
      <c r="B66" s="57" t="s">
        <v>1</v>
      </c>
      <c r="C66" s="24"/>
      <c r="D66" s="24" t="s">
        <v>1</v>
      </c>
      <c r="E66" s="24"/>
      <c r="F66" s="24"/>
      <c r="G66" s="24"/>
      <c r="H66" s="130"/>
      <c r="I66" s="130"/>
      <c r="J66" s="130"/>
      <c r="K66" s="130"/>
      <c r="L66" s="113"/>
      <c r="M66" s="113"/>
      <c r="O66" s="99">
        <v>4</v>
      </c>
      <c r="P66" s="87" t="s">
        <v>95</v>
      </c>
      <c r="Q66" s="106" t="b">
        <f>IF('Newtonus.Calculator.T Head.Pipe'!$AR$23=4,Tot.Head!Q58)</f>
        <v>0</v>
      </c>
      <c r="R66" s="106" t="b">
        <f>IF('Newtonus.Calculator.T Head.Pipe'!$AR$23=4,Tot.Head!R58)</f>
        <v>0</v>
      </c>
      <c r="S66" s="106" t="b">
        <f>IF('Newtonus.Calculator.T Head.Pipe'!$AR$23=4,Tot.Head!S58)</f>
        <v>0</v>
      </c>
      <c r="T66" s="106" t="b">
        <f>IF('Newtonus.Calculator.T Head.Pipe'!$AR$23=4,Tot.Head!T58)</f>
        <v>0</v>
      </c>
      <c r="U66" s="106" t="b">
        <f>IF('Newtonus.Calculator.T Head.Pipe'!$AR$23=4,Tot.Head!U58)</f>
        <v>0</v>
      </c>
      <c r="V66" s="106" t="b">
        <f>IF('Newtonus.Calculator.T Head.Pipe'!$AR$23=4,Tot.Head!V58)</f>
        <v>0</v>
      </c>
      <c r="W66" s="106" t="b">
        <f>IF('Newtonus.Calculator.T Head.Pipe'!$AR$23=4,Tot.Head!W58)</f>
        <v>0</v>
      </c>
      <c r="X66" s="106" t="b">
        <f>IF('Newtonus.Calculator.T Head.Pipe'!$AR$23=4,Tot.Head!X58)</f>
        <v>0</v>
      </c>
      <c r="Y66" s="106" t="b">
        <f>IF('Newtonus.Calculator.T Head.Pipe'!$AR$23=4,Tot.Head!Y58)</f>
        <v>0</v>
      </c>
      <c r="Z66" s="106" t="b">
        <f>IF('Newtonus.Calculator.T Head.Pipe'!$AR$23=4,Tot.Head!Z58)</f>
        <v>0</v>
      </c>
      <c r="AA66" s="106" t="b">
        <f>IF('Newtonus.Calculator.T Head.Pipe'!$AR$23=4,Tot.Head!AA58)</f>
        <v>0</v>
      </c>
      <c r="AB66" s="106" t="b">
        <f>IF('Newtonus.Calculator.T Head.Pipe'!$AR$23=4,Tot.Head!AB58)</f>
        <v>0</v>
      </c>
      <c r="AC66" s="106" t="b">
        <f>IF('Newtonus.Calculator.T Head.Pipe'!$AR$23=4,Tot.Head!AC58)</f>
        <v>0</v>
      </c>
      <c r="AD66" s="106" t="b">
        <f>IF('Newtonus.Calculator.T Head.Pipe'!$AR$23=4,Tot.Head!AD58)</f>
        <v>0</v>
      </c>
      <c r="AE66" s="106" t="b">
        <f>IF('Newtonus.Calculator.T Head.Pipe'!$AR$23=4,Tot.Head!AE58)</f>
        <v>0</v>
      </c>
      <c r="AF66" s="106" t="b">
        <f>IF('Newtonus.Calculator.T Head.Pipe'!$AR$23=4,Tot.Head!AF58)</f>
        <v>0</v>
      </c>
      <c r="AG66" s="106" t="b">
        <f>IF('Newtonus.Calculator.T Head.Pipe'!$AR$23=4,Tot.Head!AG58)</f>
        <v>0</v>
      </c>
      <c r="AH66" s="104">
        <f t="shared" si="8"/>
        <v>0</v>
      </c>
    </row>
    <row r="67" spans="1:40" x14ac:dyDescent="0.2">
      <c r="D67" t="s">
        <v>1</v>
      </c>
      <c r="E67" s="1" t="s">
        <v>1</v>
      </c>
      <c r="O67" s="99">
        <v>5</v>
      </c>
      <c r="P67" s="100" t="s">
        <v>96</v>
      </c>
      <c r="Q67" s="106" t="b">
        <f>IF('Newtonus.Calculator.T Head.Pipe'!$AR$23=5,Tot.Head!Q59)</f>
        <v>0</v>
      </c>
      <c r="R67" s="106" t="b">
        <f>IF('Newtonus.Calculator.T Head.Pipe'!$AR$23=5,Tot.Head!R59)</f>
        <v>0</v>
      </c>
      <c r="S67" s="106" t="b">
        <f>IF('Newtonus.Calculator.T Head.Pipe'!$AR$23=5,Tot.Head!S59)</f>
        <v>0</v>
      </c>
      <c r="T67" s="106" t="b">
        <f>IF('Newtonus.Calculator.T Head.Pipe'!$AR$23=5,Tot.Head!T59)</f>
        <v>0</v>
      </c>
      <c r="U67" s="106" t="b">
        <f>IF('Newtonus.Calculator.T Head.Pipe'!$AR$23=5,Tot.Head!U59)</f>
        <v>0</v>
      </c>
      <c r="V67" s="106" t="b">
        <f>IF('Newtonus.Calculator.T Head.Pipe'!$AR$23=5,Tot.Head!V59)</f>
        <v>0</v>
      </c>
      <c r="W67" s="106" t="b">
        <f>IF('Newtonus.Calculator.T Head.Pipe'!$AR$23=5,Tot.Head!W59)</f>
        <v>0</v>
      </c>
      <c r="X67" s="106" t="b">
        <f>IF('Newtonus.Calculator.T Head.Pipe'!$AR$23=5,Tot.Head!X59)</f>
        <v>0</v>
      </c>
      <c r="Y67" s="106" t="b">
        <f>IF('Newtonus.Calculator.T Head.Pipe'!$AR$23=5,Tot.Head!Y59)</f>
        <v>0</v>
      </c>
      <c r="Z67" s="106" t="b">
        <f>IF('Newtonus.Calculator.T Head.Pipe'!$AR$23=5,Tot.Head!Z59)</f>
        <v>0</v>
      </c>
      <c r="AA67" s="106" t="b">
        <f>IF('Newtonus.Calculator.T Head.Pipe'!$AR$23=5,Tot.Head!AA59)</f>
        <v>0</v>
      </c>
      <c r="AB67" s="106" t="b">
        <f>IF('Newtonus.Calculator.T Head.Pipe'!$AR$23=5,Tot.Head!AB59)</f>
        <v>0</v>
      </c>
      <c r="AC67" s="106" t="b">
        <f>IF('Newtonus.Calculator.T Head.Pipe'!$AR$23=5,Tot.Head!AC59)</f>
        <v>0</v>
      </c>
      <c r="AD67" s="106" t="b">
        <f>IF('Newtonus.Calculator.T Head.Pipe'!$AR$23=5,Tot.Head!AD59)</f>
        <v>0</v>
      </c>
      <c r="AE67" s="106" t="b">
        <f>IF('Newtonus.Calculator.T Head.Pipe'!$AR$23=5,Tot.Head!AE59)</f>
        <v>0</v>
      </c>
      <c r="AF67" s="106" t="b">
        <f>IF('Newtonus.Calculator.T Head.Pipe'!$AR$23=5,Tot.Head!AF59)</f>
        <v>0</v>
      </c>
      <c r="AG67" s="106" t="b">
        <f>IF('Newtonus.Calculator.T Head.Pipe'!$AR$23=5,Tot.Head!AG59)</f>
        <v>0</v>
      </c>
      <c r="AH67" s="104">
        <f t="shared" si="8"/>
        <v>0</v>
      </c>
    </row>
    <row r="68" spans="1:40" x14ac:dyDescent="0.2">
      <c r="D68" s="152" t="s">
        <v>160</v>
      </c>
      <c r="E68" s="155">
        <f>('Newtonus.Calculator.T Head.Pipe'!G23-'Newtonus.Calculator.T Head.Pipe'!G34)</f>
        <v>4</v>
      </c>
      <c r="F68" s="152">
        <v>1</v>
      </c>
      <c r="G68" s="156" t="str">
        <f>IF('Newtonus.Calculator.T Head.Pipe'!$G$18&lt;=1,"",IF('Newtonus.Calculator.T Head.Pipe'!$G$18&gt;3,"",IF($E$68&lt;$F$68,"??",IF('Newtonus.Calculator.T Head.Pipe'!$G$18=2,$E$68,))))</f>
        <v/>
      </c>
      <c r="O68" s="99">
        <v>6</v>
      </c>
      <c r="P68" s="100" t="s">
        <v>117</v>
      </c>
      <c r="Q68" s="106" t="b">
        <f>IF('Newtonus.Calculator.T Head.Pipe'!$AR$23=6,Tot.Head!Q60)</f>
        <v>0</v>
      </c>
      <c r="R68" s="106" t="b">
        <f>IF('Newtonus.Calculator.T Head.Pipe'!$AR$23=6,Tot.Head!R60)</f>
        <v>0</v>
      </c>
      <c r="S68" s="106" t="b">
        <f>IF('Newtonus.Calculator.T Head.Pipe'!$AR$23=6,Tot.Head!S60)</f>
        <v>0</v>
      </c>
      <c r="T68" s="106" t="b">
        <f>IF('Newtonus.Calculator.T Head.Pipe'!$AR$23=6,Tot.Head!T60)</f>
        <v>0</v>
      </c>
      <c r="U68" s="106" t="b">
        <f>IF('Newtonus.Calculator.T Head.Pipe'!$AR$23=6,Tot.Head!U60)</f>
        <v>0</v>
      </c>
      <c r="V68" s="106" t="b">
        <f>IF('Newtonus.Calculator.T Head.Pipe'!$AR$23=6,Tot.Head!V60)</f>
        <v>0</v>
      </c>
      <c r="W68" s="106" t="b">
        <f>IF('Newtonus.Calculator.T Head.Pipe'!$AR$23=6,Tot.Head!W60)</f>
        <v>0</v>
      </c>
      <c r="X68" s="106" t="b">
        <f>IF('Newtonus.Calculator.T Head.Pipe'!$AR$23=6,Tot.Head!X60)</f>
        <v>0</v>
      </c>
      <c r="Y68" s="106" t="b">
        <f>IF('Newtonus.Calculator.T Head.Pipe'!$AR$23=6,Tot.Head!Y60)</f>
        <v>0</v>
      </c>
      <c r="Z68" s="106" t="b">
        <f>IF('Newtonus.Calculator.T Head.Pipe'!$AR$23=6,Tot.Head!Z60)</f>
        <v>0</v>
      </c>
      <c r="AA68" s="106" t="b">
        <f>IF('Newtonus.Calculator.T Head.Pipe'!$AR$23=6,Tot.Head!AA60)</f>
        <v>0</v>
      </c>
      <c r="AB68" s="106" t="b">
        <f>IF('Newtonus.Calculator.T Head.Pipe'!$AR$23=6,Tot.Head!AB60)</f>
        <v>0</v>
      </c>
      <c r="AC68" s="106" t="b">
        <f>IF('Newtonus.Calculator.T Head.Pipe'!$AR$23=6,Tot.Head!AC60)</f>
        <v>0</v>
      </c>
      <c r="AD68" s="106" t="b">
        <f>IF('Newtonus.Calculator.T Head.Pipe'!$AR$23=6,Tot.Head!AD60)</f>
        <v>0</v>
      </c>
      <c r="AE68" s="106" t="b">
        <f>IF('Newtonus.Calculator.T Head.Pipe'!$AR$23=6,Tot.Head!AE60)</f>
        <v>0</v>
      </c>
      <c r="AF68" s="106" t="b">
        <f>IF('Newtonus.Calculator.T Head.Pipe'!$AR$23=6,Tot.Head!AF60)</f>
        <v>0</v>
      </c>
      <c r="AG68" s="106" t="b">
        <f>IF('Newtonus.Calculator.T Head.Pipe'!$AR$23=6,Tot.Head!AG60)</f>
        <v>0</v>
      </c>
      <c r="AH68" s="104">
        <f t="shared" si="8"/>
        <v>0</v>
      </c>
    </row>
    <row r="69" spans="1:40" x14ac:dyDescent="0.2">
      <c r="D69" s="152" t="s">
        <v>161</v>
      </c>
      <c r="E69" s="155"/>
      <c r="F69" s="152">
        <v>0.3</v>
      </c>
      <c r="G69" s="156" t="str">
        <f>IF('Newtonus.Calculator.T Head.Pipe'!$G$18&lt;=1,"",IF('Newtonus.Calculator.T Head.Pipe'!$G$18&gt;3,"",IF($E$68&lt;F69,"??",IF('Newtonus.Calculator.T Head.Pipe'!$G$18=3,$E$68,))))</f>
        <v/>
      </c>
      <c r="O69" s="99">
        <v>7</v>
      </c>
      <c r="P69" s="100" t="s">
        <v>116</v>
      </c>
      <c r="Q69" s="106" t="b">
        <f>IF('Newtonus.Calculator.T Head.Pipe'!$AR$23=7,Tot.Head!Q61)</f>
        <v>0</v>
      </c>
      <c r="R69" s="106" t="b">
        <f>IF('Newtonus.Calculator.T Head.Pipe'!$AR$23=7,Tot.Head!R61)</f>
        <v>0</v>
      </c>
      <c r="S69" s="106" t="b">
        <f>IF('Newtonus.Calculator.T Head.Pipe'!$AR$23=7,Tot.Head!S61)</f>
        <v>0</v>
      </c>
      <c r="T69" s="106" t="b">
        <f>IF('Newtonus.Calculator.T Head.Pipe'!$AR$23=7,Tot.Head!T61)</f>
        <v>0</v>
      </c>
      <c r="U69" s="106" t="b">
        <f>IF('Newtonus.Calculator.T Head.Pipe'!$AR$23=7,Tot.Head!U61)</f>
        <v>0</v>
      </c>
      <c r="V69" s="106" t="b">
        <f>IF('Newtonus.Calculator.T Head.Pipe'!$AR$23=7,Tot.Head!V61)</f>
        <v>0</v>
      </c>
      <c r="W69" s="106" t="b">
        <f>IF('Newtonus.Calculator.T Head.Pipe'!$AR$23=7,Tot.Head!W61)</f>
        <v>0</v>
      </c>
      <c r="X69" s="106" t="b">
        <f>IF('Newtonus.Calculator.T Head.Pipe'!$AR$23=7,Tot.Head!X61)</f>
        <v>0</v>
      </c>
      <c r="Y69" s="106" t="b">
        <f>IF('Newtonus.Calculator.T Head.Pipe'!$AR$23=7,Tot.Head!Y61)</f>
        <v>0</v>
      </c>
      <c r="Z69" s="106" t="b">
        <f>IF('Newtonus.Calculator.T Head.Pipe'!$AR$23=7,Tot.Head!Z61)</f>
        <v>0</v>
      </c>
      <c r="AA69" s="106" t="b">
        <f>IF('Newtonus.Calculator.T Head.Pipe'!$AR$23=7,Tot.Head!AA61)</f>
        <v>0</v>
      </c>
      <c r="AB69" s="106" t="b">
        <f>IF('Newtonus.Calculator.T Head.Pipe'!$AR$23=7,Tot.Head!AB61)</f>
        <v>0</v>
      </c>
      <c r="AC69" s="106" t="b">
        <f>IF('Newtonus.Calculator.T Head.Pipe'!$AR$23=7,Tot.Head!AC61)</f>
        <v>0</v>
      </c>
      <c r="AD69" s="106" t="b">
        <f>IF('Newtonus.Calculator.T Head.Pipe'!$AR$23=7,Tot.Head!AD61)</f>
        <v>0</v>
      </c>
      <c r="AE69" s="106" t="b">
        <f>IF('Newtonus.Calculator.T Head.Pipe'!$AR$23=7,Tot.Head!AE61)</f>
        <v>0</v>
      </c>
      <c r="AF69" s="106" t="b">
        <f>IF('Newtonus.Calculator.T Head.Pipe'!$AR$23=7,Tot.Head!AF61)</f>
        <v>0</v>
      </c>
      <c r="AG69" s="106" t="b">
        <f>IF('Newtonus.Calculator.T Head.Pipe'!$AR$23=7,Tot.Head!AG61)</f>
        <v>0</v>
      </c>
      <c r="AH69" s="104">
        <f t="shared" si="8"/>
        <v>0</v>
      </c>
      <c r="AM69" s="99" t="s">
        <v>141</v>
      </c>
      <c r="AN69" s="99" t="s">
        <v>141</v>
      </c>
    </row>
    <row r="70" spans="1:40" x14ac:dyDescent="0.2">
      <c r="D70" s="87"/>
      <c r="E70" s="99"/>
      <c r="F70" s="87"/>
      <c r="G70" s="157" t="str">
        <f>IF('Newtonus.Calculator.T Head.Pipe'!$G$18&lt;=1,"",IF('Newtonus.Calculator.T Head.Pipe'!G18=2,G68,IF('Newtonus.Calculator.T Head.Pipe'!G18=3,Tot.Head!G69,)))</f>
        <v/>
      </c>
      <c r="O70" s="99"/>
      <c r="P70" s="100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4"/>
      <c r="AM70" s="99"/>
      <c r="AN70" s="99"/>
    </row>
    <row r="71" spans="1:40" x14ac:dyDescent="0.2">
      <c r="C71" s="147">
        <f ca="1">'Newtonus.Calculator.T Head.Pipe'!G3</f>
        <v>45079.778979050927</v>
      </c>
      <c r="D71" s="148">
        <f ca="1">C71</f>
        <v>45079.778979050927</v>
      </c>
      <c r="F71">
        <v>0</v>
      </c>
      <c r="O71" s="128" t="s">
        <v>121</v>
      </c>
      <c r="P71" s="128"/>
      <c r="AH71" s="104">
        <f>SUM(AH63:AH69)</f>
        <v>36</v>
      </c>
      <c r="AI71" s="87" t="s">
        <v>125</v>
      </c>
      <c r="AM71" s="142" t="s">
        <v>139</v>
      </c>
      <c r="AN71" s="142" t="s">
        <v>140</v>
      </c>
    </row>
    <row r="72" spans="1:40" x14ac:dyDescent="0.2">
      <c r="C72" s="147" t="s">
        <v>1</v>
      </c>
      <c r="D72" s="148">
        <f ca="1">IF(C75=D89,D80,IF(C75&gt;=D88,D81,))</f>
        <v>406909</v>
      </c>
      <c r="F72" t="s">
        <v>164</v>
      </c>
      <c r="O72" s="99">
        <v>1</v>
      </c>
      <c r="P72" s="100" t="s">
        <v>94</v>
      </c>
      <c r="Q72" s="106" t="b">
        <f>IF('Newtonus.Calculator.T Head.Pipe'!$AU$27=1,Tot.Head!$Q3)</f>
        <v>0</v>
      </c>
      <c r="R72" s="106" t="b">
        <f>IF('Newtonus.Calculator.T Head.Pipe'!$AU$27=2,Tot.Head!$R3)</f>
        <v>0</v>
      </c>
      <c r="S72" s="106" t="b">
        <f>IF('Newtonus.Calculator.T Head.Pipe'!$AU$27=3,Tot.Head!$S3)</f>
        <v>0</v>
      </c>
      <c r="T72" s="106" t="b">
        <f>IF('Newtonus.Calculator.T Head.Pipe'!$AU$27=4,Tot.Head!$T3)</f>
        <v>0</v>
      </c>
      <c r="U72" s="106" t="b">
        <f>IF('Newtonus.Calculator.T Head.Pipe'!$AU$27=5,Tot.Head!$U3)</f>
        <v>0</v>
      </c>
      <c r="V72" s="106" t="b">
        <f>IF('Newtonus.Calculator.T Head.Pipe'!$AU$27=6,Tot.Head!$V3)</f>
        <v>0</v>
      </c>
      <c r="W72" s="106" t="b">
        <f>IF('Newtonus.Calculator.T Head.Pipe'!$AU$27=7,Tot.Head!$W3)</f>
        <v>0</v>
      </c>
      <c r="X72" s="106" t="b">
        <f>IF('Newtonus.Calculator.T Head.Pipe'!$AU$27=8,Tot.Head!$X3)</f>
        <v>0</v>
      </c>
      <c r="Y72" s="106" t="b">
        <f>IF('Newtonus.Calculator.T Head.Pipe'!$AU$27=9,Tot.Head!$Y3)</f>
        <v>0</v>
      </c>
      <c r="Z72" s="106" t="b">
        <f>IF('Newtonus.Calculator.T Head.Pipe'!$AU$27=10,Tot.Head!$Z3)</f>
        <v>0</v>
      </c>
      <c r="AA72" s="106" t="b">
        <f>IF('Newtonus.Calculator.T Head.Pipe'!$AU$27=11,Tot.Head!$AA3)</f>
        <v>0</v>
      </c>
      <c r="AB72" s="106" t="b">
        <f>IF('Newtonus.Calculator.T Head.Pipe'!$AU$27=12,Tot.Head!$AB3)</f>
        <v>0</v>
      </c>
      <c r="AC72" s="106" t="b">
        <f>IF('Newtonus.Calculator.T Head.Pipe'!$AU$27=13,Tot.Head!$AC3)</f>
        <v>0</v>
      </c>
      <c r="AD72" s="106" t="b">
        <f>IF('Newtonus.Calculator.T Head.Pipe'!$AU$27=14,Tot.Head!$AD3)</f>
        <v>0</v>
      </c>
      <c r="AE72" s="106" t="b">
        <f>IF('Newtonus.Calculator.T Head.Pipe'!$AU$27=15,Tot.Head!$AE3)</f>
        <v>0</v>
      </c>
      <c r="AF72" s="106" t="b">
        <f>IF('Newtonus.Calculator.T Head.Pipe'!$AU$27=16,Tot.Head!$AF3)</f>
        <v>0</v>
      </c>
      <c r="AG72" s="106" t="b">
        <f>IF('Newtonus.Calculator.T Head.Pipe'!$AU$27=17,Tot.Head!$AG3)</f>
        <v>0</v>
      </c>
      <c r="AH72" s="104"/>
      <c r="AI72" s="139" t="s">
        <v>132</v>
      </c>
      <c r="AJ72" s="140">
        <f>(AH71)^2</f>
        <v>1296</v>
      </c>
      <c r="AK72" s="139" t="s">
        <v>137</v>
      </c>
      <c r="AL72" s="98" t="e">
        <f>AJ72/AJ73</f>
        <v>#DIV/0!</v>
      </c>
      <c r="AM72" s="108" t="e">
        <f>0.8*$AK$76*(1-AL72)</f>
        <v>#DIV/0!</v>
      </c>
      <c r="AN72" s="108" t="e">
        <f>0.5*(1-AL72)*($AK$77)^0.5</f>
        <v>#DIV/0!</v>
      </c>
    </row>
    <row r="73" spans="1:40" x14ac:dyDescent="0.2">
      <c r="F73" s="162" t="str">
        <f ca="1">IF(C75=D89,F78,IF(C75&gt;=D88,F80))</f>
        <v/>
      </c>
      <c r="G73" s="162"/>
      <c r="H73" s="162"/>
      <c r="I73" s="162"/>
      <c r="J73" s="162"/>
      <c r="K73" s="162"/>
      <c r="O73" s="99">
        <v>2</v>
      </c>
      <c r="P73" s="100" t="s">
        <v>103</v>
      </c>
      <c r="Q73" s="106" t="b">
        <f>IF('Newtonus.Calculator.T Head.Pipe'!$AU$27=1,Tot.Head!$Q4)</f>
        <v>0</v>
      </c>
      <c r="R73" s="106" t="b">
        <f>IF('Newtonus.Calculator.T Head.Pipe'!$AU$27=2,Tot.Head!$R4)</f>
        <v>0</v>
      </c>
      <c r="S73" s="106" t="b">
        <f>IF('Newtonus.Calculator.T Head.Pipe'!$AU$27=3,Tot.Head!$S4)</f>
        <v>0</v>
      </c>
      <c r="T73" s="106" t="b">
        <f>IF('Newtonus.Calculator.T Head.Pipe'!$AU$27=4,Tot.Head!$T4)</f>
        <v>0</v>
      </c>
      <c r="U73" s="106" t="b">
        <f>IF('Newtonus.Calculator.T Head.Pipe'!$AU$27=5,Tot.Head!$U4)</f>
        <v>0</v>
      </c>
      <c r="V73" s="106" t="b">
        <f>IF('Newtonus.Calculator.T Head.Pipe'!$AU$27=6,Tot.Head!$V4)</f>
        <v>0</v>
      </c>
      <c r="W73" s="106" t="b">
        <f>IF('Newtonus.Calculator.T Head.Pipe'!$AU$27=7,Tot.Head!$W4)</f>
        <v>0</v>
      </c>
      <c r="X73" s="106" t="b">
        <f>IF('Newtonus.Calculator.T Head.Pipe'!$AU$27=8,Tot.Head!$X4)</f>
        <v>0</v>
      </c>
      <c r="Y73" s="106" t="b">
        <f>IF('Newtonus.Calculator.T Head.Pipe'!$AU$27=9,Tot.Head!$Y4)</f>
        <v>0</v>
      </c>
      <c r="Z73" s="106" t="b">
        <f>IF('Newtonus.Calculator.T Head.Pipe'!$AU$27=10,Tot.Head!$Z4)</f>
        <v>0</v>
      </c>
      <c r="AA73" s="106" t="b">
        <f>IF('Newtonus.Calculator.T Head.Pipe'!$AU$27=11,Tot.Head!$AA4)</f>
        <v>0</v>
      </c>
      <c r="AB73" s="106" t="b">
        <f>IF('Newtonus.Calculator.T Head.Pipe'!$AU$27=12,Tot.Head!$AB4)</f>
        <v>0</v>
      </c>
      <c r="AC73" s="106" t="b">
        <f>IF('Newtonus.Calculator.T Head.Pipe'!$AU$27=13,Tot.Head!$AC4)</f>
        <v>0</v>
      </c>
      <c r="AD73" s="106" t="b">
        <f>IF('Newtonus.Calculator.T Head.Pipe'!$AU$27=14,Tot.Head!$AD4)</f>
        <v>0</v>
      </c>
      <c r="AE73" s="106" t="b">
        <f>IF('Newtonus.Calculator.T Head.Pipe'!$AU$27=15,Tot.Head!$AE4)</f>
        <v>0</v>
      </c>
      <c r="AF73" s="106" t="b">
        <f>IF('Newtonus.Calculator.T Head.Pipe'!$AU$27=16,Tot.Head!$AF4)</f>
        <v>0</v>
      </c>
      <c r="AG73" s="106" t="b">
        <f>IF('Newtonus.Calculator.T Head.Pipe'!$AU$27=17,Tot.Head!$AG4)</f>
        <v>0</v>
      </c>
      <c r="AH73" s="104"/>
      <c r="AI73" s="139" t="s">
        <v>133</v>
      </c>
      <c r="AJ73" s="140">
        <f>(AH87)^2</f>
        <v>0</v>
      </c>
      <c r="AK73" s="139" t="s">
        <v>138</v>
      </c>
      <c r="AL73" s="98" t="e">
        <f>AJ73/AJ74</f>
        <v>#DIV/0!</v>
      </c>
      <c r="AM73" s="108" t="e">
        <f>0.8*$AK$76*(1-AL73)</f>
        <v>#DIV/0!</v>
      </c>
      <c r="AN73" s="108" t="e">
        <f>0.5*(1-AL73)*($AK$77)^0.5</f>
        <v>#DIV/0!</v>
      </c>
    </row>
    <row r="74" spans="1:40" x14ac:dyDescent="0.2">
      <c r="C74" s="147">
        <f>G86</f>
        <v>406909</v>
      </c>
      <c r="D74" s="148">
        <f>C74</f>
        <v>406909</v>
      </c>
      <c r="F74" s="108">
        <f>D74+D86</f>
        <v>406939</v>
      </c>
      <c r="O74" s="99">
        <v>3</v>
      </c>
      <c r="P74" s="100" t="s">
        <v>102</v>
      </c>
      <c r="Q74" s="106" t="b">
        <f>IF('Newtonus.Calculator.T Head.Pipe'!$AU$27=1,Tot.Head!$Q5)</f>
        <v>0</v>
      </c>
      <c r="R74" s="106" t="b">
        <f>IF('Newtonus.Calculator.T Head.Pipe'!$AU$27=2,Tot.Head!$R5)</f>
        <v>0</v>
      </c>
      <c r="S74" s="106" t="b">
        <f>IF('Newtonus.Calculator.T Head.Pipe'!$AU$27=3,Tot.Head!$S5)</f>
        <v>0</v>
      </c>
      <c r="T74" s="106" t="b">
        <f>IF('Newtonus.Calculator.T Head.Pipe'!$AU$27=4,Tot.Head!$T5)</f>
        <v>0</v>
      </c>
      <c r="U74" s="106" t="b">
        <f>IF('Newtonus.Calculator.T Head.Pipe'!$AU$27=5,Tot.Head!$U5)</f>
        <v>0</v>
      </c>
      <c r="V74" s="106" t="b">
        <f>IF('Newtonus.Calculator.T Head.Pipe'!$AU$27=6,Tot.Head!$V5)</f>
        <v>0</v>
      </c>
      <c r="W74" s="106" t="b">
        <f>IF('Newtonus.Calculator.T Head.Pipe'!$AU$27=7,Tot.Head!$W5)</f>
        <v>0</v>
      </c>
      <c r="X74" s="106" t="b">
        <f>IF('Newtonus.Calculator.T Head.Pipe'!$AU$27=8,Tot.Head!$X5)</f>
        <v>0</v>
      </c>
      <c r="Y74" s="106" t="b">
        <f>IF('Newtonus.Calculator.T Head.Pipe'!$AU$27=9,Tot.Head!$Y5)</f>
        <v>0</v>
      </c>
      <c r="Z74" s="106" t="b">
        <f>IF('Newtonus.Calculator.T Head.Pipe'!$AU$27=10,Tot.Head!$Z5)</f>
        <v>0</v>
      </c>
      <c r="AA74" s="106" t="b">
        <f>IF('Newtonus.Calculator.T Head.Pipe'!$AU$27=11,Tot.Head!$AA5)</f>
        <v>0</v>
      </c>
      <c r="AB74" s="106" t="b">
        <f>IF('Newtonus.Calculator.T Head.Pipe'!$AU$27=12,Tot.Head!$AB5)</f>
        <v>0</v>
      </c>
      <c r="AC74" s="106" t="b">
        <f>IF('Newtonus.Calculator.T Head.Pipe'!$AU$27=13,Tot.Head!$AC5)</f>
        <v>0</v>
      </c>
      <c r="AD74" s="106" t="b">
        <f>IF('Newtonus.Calculator.T Head.Pipe'!$AU$27=14,Tot.Head!$AD5)</f>
        <v>0</v>
      </c>
      <c r="AE74" s="106" t="b">
        <f>IF('Newtonus.Calculator.T Head.Pipe'!$AU$27=15,Tot.Head!$AE5)</f>
        <v>0</v>
      </c>
      <c r="AF74" s="106" t="b">
        <f>IF('Newtonus.Calculator.T Head.Pipe'!$AU$27=16,Tot.Head!$AF5)</f>
        <v>0</v>
      </c>
      <c r="AG74" s="106" t="b">
        <f>IF('Newtonus.Calculator.T Head.Pipe'!$AU$27=17,Tot.Head!$AG5)</f>
        <v>0</v>
      </c>
      <c r="AH74" s="104"/>
      <c r="AI74" s="139" t="s">
        <v>134</v>
      </c>
      <c r="AJ74" s="140">
        <f>(AH103)^2</f>
        <v>0</v>
      </c>
      <c r="AK74" s="87"/>
      <c r="AL74" s="87"/>
    </row>
    <row r="75" spans="1:40" x14ac:dyDescent="0.2">
      <c r="C75" s="160" t="str">
        <f>'Newtonus.Calculator.T Head.Pipe'!Y4</f>
        <v>AL1</v>
      </c>
      <c r="D75" s="148">
        <f ca="1">D74-D71</f>
        <v>361829.22102094907</v>
      </c>
      <c r="F75" s="108">
        <f ca="1">F74-D71</f>
        <v>361859.22102094907</v>
      </c>
      <c r="O75" s="99">
        <v>4</v>
      </c>
      <c r="P75" s="87" t="s">
        <v>95</v>
      </c>
      <c r="Q75" s="106" t="b">
        <f>IF('Newtonus.Calculator.T Head.Pipe'!$AU$27=1,Tot.Head!$Q6)</f>
        <v>0</v>
      </c>
      <c r="R75" s="106" t="b">
        <f>IF('Newtonus.Calculator.T Head.Pipe'!$AU$27=2,Tot.Head!$R6)</f>
        <v>0</v>
      </c>
      <c r="S75" s="106" t="b">
        <f>IF('Newtonus.Calculator.T Head.Pipe'!$AU$27=3,Tot.Head!$S6)</f>
        <v>0</v>
      </c>
      <c r="T75" s="106" t="b">
        <f>IF('Newtonus.Calculator.T Head.Pipe'!$AU$27=4,Tot.Head!$T6)</f>
        <v>0</v>
      </c>
      <c r="U75" s="106" t="b">
        <f>IF('Newtonus.Calculator.T Head.Pipe'!$AU$27=5,Tot.Head!$U6)</f>
        <v>0</v>
      </c>
      <c r="V75" s="106" t="b">
        <f>IF('Newtonus.Calculator.T Head.Pipe'!$AU$27=6,Tot.Head!$V6)</f>
        <v>0</v>
      </c>
      <c r="W75" s="106" t="b">
        <f>IF('Newtonus.Calculator.T Head.Pipe'!$AU$27=7,Tot.Head!$W6)</f>
        <v>0</v>
      </c>
      <c r="X75" s="106" t="b">
        <f>IF('Newtonus.Calculator.T Head.Pipe'!$AU$27=8,Tot.Head!$X6)</f>
        <v>0</v>
      </c>
      <c r="Y75" s="106" t="b">
        <f>IF('Newtonus.Calculator.T Head.Pipe'!$AU$27=9,Tot.Head!$Y6)</f>
        <v>0</v>
      </c>
      <c r="Z75" s="106" t="b">
        <f>IF('Newtonus.Calculator.T Head.Pipe'!$AU$27=10,Tot.Head!$Z6)</f>
        <v>0</v>
      </c>
      <c r="AA75" s="106" t="b">
        <f>IF('Newtonus.Calculator.T Head.Pipe'!$AU$27=11,Tot.Head!$AA6)</f>
        <v>0</v>
      </c>
      <c r="AB75" s="106" t="b">
        <f>IF('Newtonus.Calculator.T Head.Pipe'!$AU$27=12,Tot.Head!$AB6)</f>
        <v>0</v>
      </c>
      <c r="AC75" s="106" t="b">
        <f>IF('Newtonus.Calculator.T Head.Pipe'!$AU$27=13,Tot.Head!$AC6)</f>
        <v>0</v>
      </c>
      <c r="AD75" s="106" t="b">
        <f>IF('Newtonus.Calculator.T Head.Pipe'!$AU$27=14,Tot.Head!$AD6)</f>
        <v>0</v>
      </c>
      <c r="AE75" s="106" t="b">
        <f>IF('Newtonus.Calculator.T Head.Pipe'!$AU$27=15,Tot.Head!$AE6)</f>
        <v>0</v>
      </c>
      <c r="AF75" s="106" t="b">
        <f>IF('Newtonus.Calculator.T Head.Pipe'!$AU$27=16,Tot.Head!$AF6)</f>
        <v>0</v>
      </c>
      <c r="AG75" s="106" t="b">
        <f>IF('Newtonus.Calculator.T Head.Pipe'!$AU$27=17,Tot.Head!$AG6)</f>
        <v>0</v>
      </c>
      <c r="AH75" s="104"/>
      <c r="AI75" s="87"/>
      <c r="AJ75" s="87"/>
      <c r="AK75" s="87"/>
      <c r="AL75" s="87"/>
    </row>
    <row r="76" spans="1:40" x14ac:dyDescent="0.2">
      <c r="C76" s="147" t="s">
        <v>1</v>
      </c>
      <c r="D76" s="148" t="s">
        <v>1</v>
      </c>
      <c r="O76" s="99">
        <v>5</v>
      </c>
      <c r="P76" s="100" t="s">
        <v>96</v>
      </c>
      <c r="Q76" s="106" t="b">
        <f>IF('Newtonus.Calculator.T Head.Pipe'!$AU$27=1,Tot.Head!$Q7)</f>
        <v>0</v>
      </c>
      <c r="R76" s="106" t="b">
        <f>IF('Newtonus.Calculator.T Head.Pipe'!$AU$27=2,Tot.Head!$R7)</f>
        <v>0</v>
      </c>
      <c r="S76" s="106" t="b">
        <f>IF('Newtonus.Calculator.T Head.Pipe'!$AU$27=3,Tot.Head!$S7)</f>
        <v>0</v>
      </c>
      <c r="T76" s="106" t="b">
        <f>IF('Newtonus.Calculator.T Head.Pipe'!$AU$27=4,Tot.Head!$T7)</f>
        <v>0</v>
      </c>
      <c r="U76" s="106" t="b">
        <f>IF('Newtonus.Calculator.T Head.Pipe'!$AU$27=5,Tot.Head!$U7)</f>
        <v>0</v>
      </c>
      <c r="V76" s="106" t="b">
        <f>IF('Newtonus.Calculator.T Head.Pipe'!$AU$27=6,Tot.Head!$V7)</f>
        <v>0</v>
      </c>
      <c r="W76" s="106" t="b">
        <f>IF('Newtonus.Calculator.T Head.Pipe'!$AU$27=7,Tot.Head!$W7)</f>
        <v>0</v>
      </c>
      <c r="X76" s="106" t="b">
        <f>IF('Newtonus.Calculator.T Head.Pipe'!$AU$27=8,Tot.Head!$X7)</f>
        <v>0</v>
      </c>
      <c r="Y76" s="106" t="b">
        <f>IF('Newtonus.Calculator.T Head.Pipe'!$AU$27=9,Tot.Head!$Y7)</f>
        <v>0</v>
      </c>
      <c r="Z76" s="106" t="b">
        <f>IF('Newtonus.Calculator.T Head.Pipe'!$AU$27=10,Tot.Head!$Z7)</f>
        <v>0</v>
      </c>
      <c r="AA76" s="106" t="b">
        <f>IF('Newtonus.Calculator.T Head.Pipe'!$AU$27=11,Tot.Head!$AA7)</f>
        <v>0</v>
      </c>
      <c r="AB76" s="106" t="b">
        <f>IF('Newtonus.Calculator.T Head.Pipe'!$AU$27=12,Tot.Head!$AB7)</f>
        <v>0</v>
      </c>
      <c r="AC76" s="106" t="b">
        <f>IF('Newtonus.Calculator.T Head.Pipe'!$AU$27=13,Tot.Head!$AC7)</f>
        <v>0</v>
      </c>
      <c r="AD76" s="106" t="b">
        <f>IF('Newtonus.Calculator.T Head.Pipe'!$AU$27=14,Tot.Head!$AD7)</f>
        <v>0</v>
      </c>
      <c r="AE76" s="106" t="b">
        <f>IF('Newtonus.Calculator.T Head.Pipe'!$AU$27=15,Tot.Head!$AE7)</f>
        <v>0</v>
      </c>
      <c r="AF76" s="106" t="b">
        <f>IF('Newtonus.Calculator.T Head.Pipe'!$AU$27=16,Tot.Head!$AF7)</f>
        <v>0</v>
      </c>
      <c r="AG76" s="106" t="b">
        <f>IF('Newtonus.Calculator.T Head.Pipe'!$AU$27=17,Tot.Head!$AG7)</f>
        <v>0</v>
      </c>
      <c r="AH76" s="104"/>
      <c r="AI76" s="141" t="s">
        <v>135</v>
      </c>
      <c r="AJ76" s="87">
        <v>45</v>
      </c>
      <c r="AK76" s="98">
        <f>SIN(AJ76/2)</f>
        <v>-0.48717451246050952</v>
      </c>
      <c r="AL76" s="87"/>
    </row>
    <row r="77" spans="1:40" x14ac:dyDescent="0.2">
      <c r="D77" s="148">
        <f ca="1">IF(AND(D75&gt;=-D86,D75&lt;=D84),D74,D87)</f>
        <v>406909</v>
      </c>
      <c r="F77" s="148">
        <f ca="1">IF(AND(F75&gt;0,F75&lt;=D86),F74,D87)</f>
        <v>-1000</v>
      </c>
      <c r="O77" s="99">
        <v>6</v>
      </c>
      <c r="P77" s="100" t="s">
        <v>117</v>
      </c>
      <c r="Q77" s="106" t="b">
        <f>IF('Newtonus.Calculator.T Head.Pipe'!$AU$27=1,Tot.Head!$Q8)</f>
        <v>0</v>
      </c>
      <c r="R77" s="106" t="b">
        <f>IF('Newtonus.Calculator.T Head.Pipe'!$AU$27=2,Tot.Head!$R8)</f>
        <v>0</v>
      </c>
      <c r="S77" s="106" t="b">
        <f>IF('Newtonus.Calculator.T Head.Pipe'!$AU$27=3,Tot.Head!$S8)</f>
        <v>0</v>
      </c>
      <c r="T77" s="106" t="b">
        <f>IF('Newtonus.Calculator.T Head.Pipe'!$AU$27=4,Tot.Head!$T8)</f>
        <v>0</v>
      </c>
      <c r="U77" s="106" t="b">
        <f>IF('Newtonus.Calculator.T Head.Pipe'!$AU$27=5,Tot.Head!$U8)</f>
        <v>0</v>
      </c>
      <c r="V77" s="106" t="b">
        <f>IF('Newtonus.Calculator.T Head.Pipe'!$AU$27=6,Tot.Head!$V8)</f>
        <v>0</v>
      </c>
      <c r="W77" s="106" t="b">
        <f>IF('Newtonus.Calculator.T Head.Pipe'!$AU$27=7,Tot.Head!$W8)</f>
        <v>0</v>
      </c>
      <c r="X77" s="106" t="b">
        <f>IF('Newtonus.Calculator.T Head.Pipe'!$AU$27=8,Tot.Head!$X8)</f>
        <v>0</v>
      </c>
      <c r="Y77" s="106" t="b">
        <f>IF('Newtonus.Calculator.T Head.Pipe'!$AU$27=9,Tot.Head!$Y8)</f>
        <v>0</v>
      </c>
      <c r="Z77" s="106" t="b">
        <f>IF('Newtonus.Calculator.T Head.Pipe'!$AU$27=10,Tot.Head!$Z8)</f>
        <v>0</v>
      </c>
      <c r="AA77" s="106" t="b">
        <f>IF('Newtonus.Calculator.T Head.Pipe'!$AU$27=11,Tot.Head!$AA8)</f>
        <v>0</v>
      </c>
      <c r="AB77" s="106" t="b">
        <f>IF('Newtonus.Calculator.T Head.Pipe'!$AU$27=12,Tot.Head!$AB8)</f>
        <v>0</v>
      </c>
      <c r="AC77" s="106" t="b">
        <f>IF('Newtonus.Calculator.T Head.Pipe'!$AU$27=13,Tot.Head!$AC8)</f>
        <v>0</v>
      </c>
      <c r="AD77" s="106" t="b">
        <f>IF('Newtonus.Calculator.T Head.Pipe'!$AU$27=14,Tot.Head!$AD8)</f>
        <v>0</v>
      </c>
      <c r="AE77" s="106" t="b">
        <f>IF('Newtonus.Calculator.T Head.Pipe'!$AU$27=15,Tot.Head!$AE8)</f>
        <v>0</v>
      </c>
      <c r="AF77" s="106" t="b">
        <f>IF('Newtonus.Calculator.T Head.Pipe'!$AU$27=16,Tot.Head!$AF8)</f>
        <v>0</v>
      </c>
      <c r="AG77" s="106" t="b">
        <f>IF('Newtonus.Calculator.T Head.Pipe'!$AU$27=17,Tot.Head!$AG8)</f>
        <v>0</v>
      </c>
      <c r="AH77" s="104"/>
      <c r="AI77" s="141" t="s">
        <v>136</v>
      </c>
      <c r="AJ77" s="87">
        <v>90</v>
      </c>
      <c r="AK77" s="98">
        <f>SIN(AJ77/2)</f>
        <v>0.85090352453411844</v>
      </c>
      <c r="AL77" s="87"/>
    </row>
    <row r="78" spans="1:40" x14ac:dyDescent="0.2">
      <c r="D78" t="s">
        <v>1</v>
      </c>
      <c r="F78" s="128" t="str">
        <f ca="1">IF(AND(C75=D89,F75&lt;=D86),F72,"")</f>
        <v/>
      </c>
      <c r="G78" s="128"/>
      <c r="H78" s="128"/>
      <c r="I78" s="128"/>
      <c r="J78" s="128"/>
      <c r="K78" s="128"/>
      <c r="O78" s="99">
        <v>7</v>
      </c>
      <c r="P78" s="100" t="s">
        <v>116</v>
      </c>
      <c r="Q78" s="106" t="b">
        <f>IF('Newtonus.Calculator.T Head.Pipe'!$AU$27=1,Tot.Head!$Q9)</f>
        <v>0</v>
      </c>
      <c r="R78" s="106" t="b">
        <f>IF('Newtonus.Calculator.T Head.Pipe'!$AU$27=2,Tot.Head!$R9)</f>
        <v>0</v>
      </c>
      <c r="S78" s="106" t="b">
        <f>IF('Newtonus.Calculator.T Head.Pipe'!$AU$27=3,Tot.Head!$S9)</f>
        <v>0</v>
      </c>
      <c r="T78" s="106" t="b">
        <f>IF('Newtonus.Calculator.T Head.Pipe'!$AU$27=4,Tot.Head!$T9)</f>
        <v>0</v>
      </c>
      <c r="U78" s="106" t="b">
        <f>IF('Newtonus.Calculator.T Head.Pipe'!$AU$27=5,Tot.Head!$U9)</f>
        <v>0</v>
      </c>
      <c r="V78" s="106" t="b">
        <f>IF('Newtonus.Calculator.T Head.Pipe'!$AU$27=6,Tot.Head!$V9)</f>
        <v>0</v>
      </c>
      <c r="W78" s="106" t="b">
        <f>IF('Newtonus.Calculator.T Head.Pipe'!$AU$27=7,Tot.Head!$W9)</f>
        <v>0</v>
      </c>
      <c r="X78" s="106" t="b">
        <f>IF('Newtonus.Calculator.T Head.Pipe'!$AU$27=8,Tot.Head!$X9)</f>
        <v>0</v>
      </c>
      <c r="Y78" s="106" t="b">
        <f>IF('Newtonus.Calculator.T Head.Pipe'!$AU$27=9,Tot.Head!$Y9)</f>
        <v>0</v>
      </c>
      <c r="Z78" s="106" t="b">
        <f>IF('Newtonus.Calculator.T Head.Pipe'!$AU$27=10,Tot.Head!$Z9)</f>
        <v>0</v>
      </c>
      <c r="AA78" s="106" t="b">
        <f>IF('Newtonus.Calculator.T Head.Pipe'!$AU$27=11,Tot.Head!$AA9)</f>
        <v>0</v>
      </c>
      <c r="AB78" s="106" t="b">
        <f>IF('Newtonus.Calculator.T Head.Pipe'!$AU$27=12,Tot.Head!$AB9)</f>
        <v>0</v>
      </c>
      <c r="AC78" s="106" t="b">
        <f>IF('Newtonus.Calculator.T Head.Pipe'!$AU$27=13,Tot.Head!$AC9)</f>
        <v>0</v>
      </c>
      <c r="AD78" s="106" t="b">
        <f>IF('Newtonus.Calculator.T Head.Pipe'!$AU$27=14,Tot.Head!$AD9)</f>
        <v>0</v>
      </c>
      <c r="AE78" s="106" t="b">
        <f>IF('Newtonus.Calculator.T Head.Pipe'!$AU$27=15,Tot.Head!$AE9)</f>
        <v>0</v>
      </c>
      <c r="AF78" s="106" t="b">
        <f>IF('Newtonus.Calculator.T Head.Pipe'!$AU$27=16,Tot.Head!$AF9)</f>
        <v>0</v>
      </c>
      <c r="AG78" s="106" t="b">
        <f>IF('Newtonus.Calculator.T Head.Pipe'!$AU$27=17,Tot.Head!$AG9)</f>
        <v>0</v>
      </c>
      <c r="AH78" s="104"/>
      <c r="AI78" s="87"/>
      <c r="AJ78" s="87"/>
      <c r="AK78" s="87"/>
      <c r="AL78" s="87"/>
    </row>
    <row r="79" spans="1:40" x14ac:dyDescent="0.2">
      <c r="F79" t="s">
        <v>170</v>
      </c>
      <c r="AH79" s="104"/>
    </row>
    <row r="80" spans="1:40" x14ac:dyDescent="0.2">
      <c r="C80" s="148" t="s">
        <v>1</v>
      </c>
      <c r="D80" s="148">
        <f ca="1">IF(AND(C75=D89,D77&gt;0),D77,D87)</f>
        <v>406909</v>
      </c>
      <c r="F80" s="163" t="str">
        <f ca="1">IF(AND(C75&gt;=D88,F75&gt;=-D86),"",F79)</f>
        <v/>
      </c>
      <c r="G80" s="163"/>
      <c r="H80" s="163"/>
      <c r="I80" s="163"/>
      <c r="J80" s="163"/>
      <c r="K80" s="163"/>
      <c r="O80" s="99">
        <v>1</v>
      </c>
      <c r="P80" s="100" t="s">
        <v>94</v>
      </c>
      <c r="Q80" s="106" t="b">
        <f>IF('Newtonus.Calculator.T Head.Pipe'!$AU$23=1,Tot.Head!Q72)</f>
        <v>0</v>
      </c>
      <c r="R80" s="106" t="b">
        <f>IF('Newtonus.Calculator.T Head.Pipe'!$AU$23=1,Tot.Head!R72)</f>
        <v>0</v>
      </c>
      <c r="S80" s="106" t="b">
        <f>IF('Newtonus.Calculator.T Head.Pipe'!$AU$23=1,Tot.Head!S72)</f>
        <v>0</v>
      </c>
      <c r="T80" s="106" t="b">
        <f>IF('Newtonus.Calculator.T Head.Pipe'!$AU$23=1,Tot.Head!T72)</f>
        <v>0</v>
      </c>
      <c r="U80" s="106" t="b">
        <f>IF('Newtonus.Calculator.T Head.Pipe'!$AU$23=1,Tot.Head!U72)</f>
        <v>0</v>
      </c>
      <c r="V80" s="106" t="b">
        <f>IF('Newtonus.Calculator.T Head.Pipe'!$AU$23=1,Tot.Head!V72)</f>
        <v>0</v>
      </c>
      <c r="W80" s="106" t="b">
        <f>IF('Newtonus.Calculator.T Head.Pipe'!$AU$23=1,Tot.Head!W72)</f>
        <v>0</v>
      </c>
      <c r="X80" s="106" t="b">
        <f>IF('Newtonus.Calculator.T Head.Pipe'!$AU$23=1,Tot.Head!X72)</f>
        <v>0</v>
      </c>
      <c r="Y80" s="106" t="b">
        <f>IF('Newtonus.Calculator.T Head.Pipe'!$AU$23=1,Tot.Head!Y72)</f>
        <v>0</v>
      </c>
      <c r="Z80" s="106" t="b">
        <f>IF('Newtonus.Calculator.T Head.Pipe'!$AU$23=1,Tot.Head!Z72)</f>
        <v>0</v>
      </c>
      <c r="AA80" s="106" t="b">
        <f>IF('Newtonus.Calculator.T Head.Pipe'!$AU$23=1,Tot.Head!AA72)</f>
        <v>0</v>
      </c>
      <c r="AB80" s="106" t="b">
        <f>IF('Newtonus.Calculator.T Head.Pipe'!$AU$23=1,Tot.Head!AB72)</f>
        <v>0</v>
      </c>
      <c r="AC80" s="106" t="b">
        <f>IF('Newtonus.Calculator.T Head.Pipe'!$AU$23=1,Tot.Head!AC72)</f>
        <v>0</v>
      </c>
      <c r="AD80" s="106" t="b">
        <f>IF('Newtonus.Calculator.T Head.Pipe'!$AU$23=1,Tot.Head!AD72)</f>
        <v>0</v>
      </c>
      <c r="AE80" s="106" t="b">
        <f>IF('Newtonus.Calculator.T Head.Pipe'!$AU$23=1,Tot.Head!AE72)</f>
        <v>0</v>
      </c>
      <c r="AF80" s="106" t="b">
        <f>IF('Newtonus.Calculator.T Head.Pipe'!$AU$23=1,Tot.Head!AF72)</f>
        <v>0</v>
      </c>
      <c r="AG80" s="106" t="b">
        <f>IF('Newtonus.Calculator.T Head.Pipe'!$AU$23=1,Tot.Head!AG72)</f>
        <v>0</v>
      </c>
      <c r="AH80" s="104">
        <f>SUM(Q80:AG80)</f>
        <v>0</v>
      </c>
    </row>
    <row r="81" spans="1:35" x14ac:dyDescent="0.2">
      <c r="C81" s="148" t="s">
        <v>1</v>
      </c>
      <c r="D81" s="148">
        <f ca="1">IF(AND(C75&gt;=D88,F77&gt;0),F77,D88)</f>
        <v>-1000</v>
      </c>
      <c r="O81" s="99">
        <v>2</v>
      </c>
      <c r="P81" s="100" t="s">
        <v>103</v>
      </c>
      <c r="Q81" s="106" t="b">
        <f>IF('Newtonus.Calculator.T Head.Pipe'!$AU$23=2,Tot.Head!Q73)</f>
        <v>0</v>
      </c>
      <c r="R81" s="106" t="b">
        <f>IF('Newtonus.Calculator.T Head.Pipe'!$AU$23=2,Tot.Head!R73)</f>
        <v>0</v>
      </c>
      <c r="S81" s="106" t="b">
        <f>IF('Newtonus.Calculator.T Head.Pipe'!$AU$23=2,Tot.Head!S73)</f>
        <v>0</v>
      </c>
      <c r="T81" s="106" t="b">
        <f>IF('Newtonus.Calculator.T Head.Pipe'!$AU$23=2,Tot.Head!T73)</f>
        <v>0</v>
      </c>
      <c r="U81" s="106" t="b">
        <f>IF('Newtonus.Calculator.T Head.Pipe'!$AU$23=2,Tot.Head!U73)</f>
        <v>0</v>
      </c>
      <c r="V81" s="106" t="b">
        <f>IF('Newtonus.Calculator.T Head.Pipe'!$AU$23=2,Tot.Head!V73)</f>
        <v>0</v>
      </c>
      <c r="W81" s="106" t="b">
        <f>IF('Newtonus.Calculator.T Head.Pipe'!$AU$23=2,Tot.Head!W73)</f>
        <v>0</v>
      </c>
      <c r="X81" s="106" t="b">
        <f>IF('Newtonus.Calculator.T Head.Pipe'!$AU$23=2,Tot.Head!X73)</f>
        <v>0</v>
      </c>
      <c r="Y81" s="106" t="b">
        <f>IF('Newtonus.Calculator.T Head.Pipe'!$AU$23=2,Tot.Head!Y73)</f>
        <v>0</v>
      </c>
      <c r="Z81" s="106" t="b">
        <f>IF('Newtonus.Calculator.T Head.Pipe'!$AU$23=2,Tot.Head!Z73)</f>
        <v>0</v>
      </c>
      <c r="AA81" s="106" t="b">
        <f>IF('Newtonus.Calculator.T Head.Pipe'!$AU$23=2,Tot.Head!AA73)</f>
        <v>0</v>
      </c>
      <c r="AB81" s="106" t="b">
        <f>IF('Newtonus.Calculator.T Head.Pipe'!$AU$23=2,Tot.Head!AB73)</f>
        <v>0</v>
      </c>
      <c r="AC81" s="106" t="b">
        <f>IF('Newtonus.Calculator.T Head.Pipe'!$AU$23=2,Tot.Head!AC73)</f>
        <v>0</v>
      </c>
      <c r="AD81" s="106" t="b">
        <f>IF('Newtonus.Calculator.T Head.Pipe'!$AU$23=2,Tot.Head!AD73)</f>
        <v>0</v>
      </c>
      <c r="AE81" s="106" t="b">
        <f>IF('Newtonus.Calculator.T Head.Pipe'!$AU$23=2,Tot.Head!AE73)</f>
        <v>0</v>
      </c>
      <c r="AF81" s="106" t="b">
        <f>IF('Newtonus.Calculator.T Head.Pipe'!$AU$23=2,Tot.Head!AF73)</f>
        <v>0</v>
      </c>
      <c r="AG81" s="106" t="b">
        <f>IF('Newtonus.Calculator.T Head.Pipe'!$AU$23=2,Tot.Head!AG73)</f>
        <v>0</v>
      </c>
      <c r="AH81" s="104">
        <f t="shared" ref="AH81:AH86" si="9">SUM(Q81:AG81)</f>
        <v>0</v>
      </c>
    </row>
    <row r="82" spans="1:35" x14ac:dyDescent="0.2">
      <c r="C82" s="148" t="s">
        <v>1</v>
      </c>
      <c r="O82" s="99">
        <v>3</v>
      </c>
      <c r="P82" s="100" t="s">
        <v>102</v>
      </c>
      <c r="Q82" s="106" t="b">
        <f>IF('Newtonus.Calculator.T Head.Pipe'!$AU$23=3,Tot.Head!Q74)</f>
        <v>0</v>
      </c>
      <c r="R82" s="106" t="b">
        <f>IF('Newtonus.Calculator.T Head.Pipe'!$AU$23=3,Tot.Head!R74)</f>
        <v>0</v>
      </c>
      <c r="S82" s="106" t="b">
        <f>IF('Newtonus.Calculator.T Head.Pipe'!$AU$23=3,Tot.Head!S74)</f>
        <v>0</v>
      </c>
      <c r="T82" s="106" t="b">
        <f>IF('Newtonus.Calculator.T Head.Pipe'!$AU$23=3,Tot.Head!T74)</f>
        <v>0</v>
      </c>
      <c r="U82" s="106" t="b">
        <f>IF('Newtonus.Calculator.T Head.Pipe'!$AU$23=3,Tot.Head!U74)</f>
        <v>0</v>
      </c>
      <c r="V82" s="106" t="b">
        <f>IF('Newtonus.Calculator.T Head.Pipe'!$AU$23=3,Tot.Head!V74)</f>
        <v>0</v>
      </c>
      <c r="W82" s="106" t="b">
        <f>IF('Newtonus.Calculator.T Head.Pipe'!$AU$23=3,Tot.Head!W74)</f>
        <v>0</v>
      </c>
      <c r="X82" s="106" t="b">
        <f>IF('Newtonus.Calculator.T Head.Pipe'!$AU$23=3,Tot.Head!X74)</f>
        <v>0</v>
      </c>
      <c r="Y82" s="106" t="b">
        <f>IF('Newtonus.Calculator.T Head.Pipe'!$AU$23=3,Tot.Head!Y74)</f>
        <v>0</v>
      </c>
      <c r="Z82" s="106" t="b">
        <f>IF('Newtonus.Calculator.T Head.Pipe'!$AU$23=3,Tot.Head!Z74)</f>
        <v>0</v>
      </c>
      <c r="AA82" s="106" t="b">
        <f>IF('Newtonus.Calculator.T Head.Pipe'!$AU$23=3,Tot.Head!AA74)</f>
        <v>0</v>
      </c>
      <c r="AB82" s="106" t="b">
        <f>IF('Newtonus.Calculator.T Head.Pipe'!$AU$23=3,Tot.Head!AB74)</f>
        <v>0</v>
      </c>
      <c r="AC82" s="106" t="b">
        <f>IF('Newtonus.Calculator.T Head.Pipe'!$AU$23=3,Tot.Head!AC74)</f>
        <v>0</v>
      </c>
      <c r="AD82" s="106" t="b">
        <f>IF('Newtonus.Calculator.T Head.Pipe'!$AU$23=3,Tot.Head!AD74)</f>
        <v>0</v>
      </c>
      <c r="AE82" s="106" t="b">
        <f>IF('Newtonus.Calculator.T Head.Pipe'!$AU$23=3,Tot.Head!AE74)</f>
        <v>0</v>
      </c>
      <c r="AF82" s="106" t="b">
        <f>IF('Newtonus.Calculator.T Head.Pipe'!$AU$23=3,Tot.Head!AF74)</f>
        <v>0</v>
      </c>
      <c r="AG82" s="106" t="b">
        <f>IF('Newtonus.Calculator.T Head.Pipe'!$AU$23=3,Tot.Head!AG74)</f>
        <v>0</v>
      </c>
      <c r="AH82" s="104">
        <f t="shared" si="9"/>
        <v>0</v>
      </c>
    </row>
    <row r="83" spans="1:35" x14ac:dyDescent="0.2">
      <c r="A83" s="842"/>
      <c r="B83" s="842"/>
      <c r="C83" s="842"/>
      <c r="O83" s="99">
        <v>4</v>
      </c>
      <c r="P83" s="87" t="s">
        <v>95</v>
      </c>
      <c r="Q83" s="106" t="b">
        <f>IF('Newtonus.Calculator.T Head.Pipe'!$AU$23=4,Tot.Head!Q75)</f>
        <v>0</v>
      </c>
      <c r="R83" s="106" t="b">
        <f>IF('Newtonus.Calculator.T Head.Pipe'!$AU$23=4,Tot.Head!R75)</f>
        <v>0</v>
      </c>
      <c r="S83" s="106" t="b">
        <f>IF('Newtonus.Calculator.T Head.Pipe'!$AU$23=4,Tot.Head!S75)</f>
        <v>0</v>
      </c>
      <c r="T83" s="106" t="b">
        <f>IF('Newtonus.Calculator.T Head.Pipe'!$AU$23=4,Tot.Head!T75)</f>
        <v>0</v>
      </c>
      <c r="U83" s="106" t="b">
        <f>IF('Newtonus.Calculator.T Head.Pipe'!$AU$23=4,Tot.Head!U75)</f>
        <v>0</v>
      </c>
      <c r="V83" s="106" t="b">
        <f>IF('Newtonus.Calculator.T Head.Pipe'!$AU$23=4,Tot.Head!V75)</f>
        <v>0</v>
      </c>
      <c r="W83" s="106" t="b">
        <f>IF('Newtonus.Calculator.T Head.Pipe'!$AU$23=4,Tot.Head!W75)</f>
        <v>0</v>
      </c>
      <c r="X83" s="106" t="b">
        <f>IF('Newtonus.Calculator.T Head.Pipe'!$AU$23=4,Tot.Head!X75)</f>
        <v>0</v>
      </c>
      <c r="Y83" s="106" t="b">
        <f>IF('Newtonus.Calculator.T Head.Pipe'!$AU$23=4,Tot.Head!Y75)</f>
        <v>0</v>
      </c>
      <c r="Z83" s="106" t="b">
        <f>IF('Newtonus.Calculator.T Head.Pipe'!$AU$23=4,Tot.Head!Z75)</f>
        <v>0</v>
      </c>
      <c r="AA83" s="106" t="b">
        <f>IF('Newtonus.Calculator.T Head.Pipe'!$AU$23=4,Tot.Head!AA75)</f>
        <v>0</v>
      </c>
      <c r="AB83" s="106" t="b">
        <f>IF('Newtonus.Calculator.T Head.Pipe'!$AU$23=4,Tot.Head!AB75)</f>
        <v>0</v>
      </c>
      <c r="AC83" s="106" t="b">
        <f>IF('Newtonus.Calculator.T Head.Pipe'!$AU$23=4,Tot.Head!AC75)</f>
        <v>0</v>
      </c>
      <c r="AD83" s="106" t="b">
        <f>IF('Newtonus.Calculator.T Head.Pipe'!$AU$23=4,Tot.Head!AD75)</f>
        <v>0</v>
      </c>
      <c r="AE83" s="106" t="b">
        <f>IF('Newtonus.Calculator.T Head.Pipe'!$AU$23=4,Tot.Head!AE75)</f>
        <v>0</v>
      </c>
      <c r="AF83" s="106" t="b">
        <f>IF('Newtonus.Calculator.T Head.Pipe'!$AU$23=4,Tot.Head!AF75)</f>
        <v>0</v>
      </c>
      <c r="AG83" s="106" t="b">
        <f>IF('Newtonus.Calculator.T Head.Pipe'!$AU$23=4,Tot.Head!AG75)</f>
        <v>0</v>
      </c>
      <c r="AH83" s="104">
        <f t="shared" si="9"/>
        <v>0</v>
      </c>
    </row>
    <row r="84" spans="1:35" x14ac:dyDescent="0.2">
      <c r="A84" s="842" t="s">
        <v>169</v>
      </c>
      <c r="B84" s="842"/>
      <c r="C84" s="842"/>
      <c r="D84">
        <f>G85</f>
        <v>366000</v>
      </c>
      <c r="E84" s="165" t="s">
        <v>222</v>
      </c>
      <c r="F84" s="168">
        <f>G84</f>
        <v>40909</v>
      </c>
      <c r="G84" s="161">
        <v>40909</v>
      </c>
      <c r="H84" s="165" t="s">
        <v>219</v>
      </c>
      <c r="O84" s="99">
        <v>5</v>
      </c>
      <c r="P84" s="100" t="s">
        <v>96</v>
      </c>
      <c r="Q84" s="106" t="b">
        <f>IF('Newtonus.Calculator.T Head.Pipe'!$AU$23=5,Tot.Head!Q76)</f>
        <v>0</v>
      </c>
      <c r="R84" s="106" t="b">
        <f>IF('Newtonus.Calculator.T Head.Pipe'!$AU$23=5,Tot.Head!R76)</f>
        <v>0</v>
      </c>
      <c r="S84" s="106" t="b">
        <f>IF('Newtonus.Calculator.T Head.Pipe'!$AU$23=5,Tot.Head!S76)</f>
        <v>0</v>
      </c>
      <c r="T84" s="106" t="b">
        <f>IF('Newtonus.Calculator.T Head.Pipe'!$AU$23=5,Tot.Head!T76)</f>
        <v>0</v>
      </c>
      <c r="U84" s="106" t="b">
        <f>IF('Newtonus.Calculator.T Head.Pipe'!$AU$23=5,Tot.Head!U76)</f>
        <v>0</v>
      </c>
      <c r="V84" s="106" t="b">
        <f>IF('Newtonus.Calculator.T Head.Pipe'!$AU$23=5,Tot.Head!V76)</f>
        <v>0</v>
      </c>
      <c r="W84" s="106" t="b">
        <f>IF('Newtonus.Calculator.T Head.Pipe'!$AU$23=5,Tot.Head!W76)</f>
        <v>0</v>
      </c>
      <c r="X84" s="106" t="b">
        <f>IF('Newtonus.Calculator.T Head.Pipe'!$AU$23=5,Tot.Head!X76)</f>
        <v>0</v>
      </c>
      <c r="Y84" s="106" t="b">
        <f>IF('Newtonus.Calculator.T Head.Pipe'!$AU$23=5,Tot.Head!Y76)</f>
        <v>0</v>
      </c>
      <c r="Z84" s="106" t="b">
        <f>IF('Newtonus.Calculator.T Head.Pipe'!$AU$23=5,Tot.Head!Z76)</f>
        <v>0</v>
      </c>
      <c r="AA84" s="106" t="b">
        <f>IF('Newtonus.Calculator.T Head.Pipe'!$AU$23=5,Tot.Head!AA76)</f>
        <v>0</v>
      </c>
      <c r="AB84" s="106" t="b">
        <f>IF('Newtonus.Calculator.T Head.Pipe'!$AU$23=5,Tot.Head!AB76)</f>
        <v>0</v>
      </c>
      <c r="AC84" s="106" t="b">
        <f>IF('Newtonus.Calculator.T Head.Pipe'!$AU$23=5,Tot.Head!AC76)</f>
        <v>0</v>
      </c>
      <c r="AD84" s="106" t="b">
        <f>IF('Newtonus.Calculator.T Head.Pipe'!$AU$23=5,Tot.Head!AD76)</f>
        <v>0</v>
      </c>
      <c r="AE84" s="106" t="b">
        <f>IF('Newtonus.Calculator.T Head.Pipe'!$AU$23=5,Tot.Head!AE76)</f>
        <v>0</v>
      </c>
      <c r="AF84" s="106" t="b">
        <f>IF('Newtonus.Calculator.T Head.Pipe'!$AU$23=5,Tot.Head!AF76)</f>
        <v>0</v>
      </c>
      <c r="AG84" s="106" t="b">
        <f>IF('Newtonus.Calculator.T Head.Pipe'!$AU$23=5,Tot.Head!AG76)</f>
        <v>0</v>
      </c>
      <c r="AH84" s="104">
        <f t="shared" si="9"/>
        <v>0</v>
      </c>
    </row>
    <row r="85" spans="1:35" x14ac:dyDescent="0.2">
      <c r="A85" s="842" t="s">
        <v>168</v>
      </c>
      <c r="B85" s="842"/>
      <c r="C85" s="842"/>
      <c r="D85">
        <f>D84+D86</f>
        <v>366030</v>
      </c>
      <c r="G85" s="170">
        <f>366*1000</f>
        <v>366000</v>
      </c>
      <c r="H85" s="165" t="s">
        <v>220</v>
      </c>
      <c r="O85" s="99">
        <v>6</v>
      </c>
      <c r="P85" s="100" t="s">
        <v>117</v>
      </c>
      <c r="Q85" s="106" t="b">
        <f>IF('Newtonus.Calculator.T Head.Pipe'!$AU$23=6,Tot.Head!Q77)</f>
        <v>0</v>
      </c>
      <c r="R85" s="106" t="b">
        <f>IF('Newtonus.Calculator.T Head.Pipe'!$AU$23=6,Tot.Head!R77)</f>
        <v>0</v>
      </c>
      <c r="S85" s="106" t="b">
        <f>IF('Newtonus.Calculator.T Head.Pipe'!$AU$23=6,Tot.Head!S77)</f>
        <v>0</v>
      </c>
      <c r="T85" s="106" t="b">
        <f>IF('Newtonus.Calculator.T Head.Pipe'!$AU$23=6,Tot.Head!T77)</f>
        <v>0</v>
      </c>
      <c r="U85" s="106" t="b">
        <f>IF('Newtonus.Calculator.T Head.Pipe'!$AU$23=6,Tot.Head!U77)</f>
        <v>0</v>
      </c>
      <c r="V85" s="106" t="b">
        <f>IF('Newtonus.Calculator.T Head.Pipe'!$AU$23=6,Tot.Head!V77)</f>
        <v>0</v>
      </c>
      <c r="W85" s="106" t="b">
        <f>IF('Newtonus.Calculator.T Head.Pipe'!$AU$23=6,Tot.Head!W77)</f>
        <v>0</v>
      </c>
      <c r="X85" s="106" t="b">
        <f>IF('Newtonus.Calculator.T Head.Pipe'!$AU$23=6,Tot.Head!X77)</f>
        <v>0</v>
      </c>
      <c r="Y85" s="106" t="b">
        <f>IF('Newtonus.Calculator.T Head.Pipe'!$AU$23=6,Tot.Head!Y77)</f>
        <v>0</v>
      </c>
      <c r="Z85" s="106" t="b">
        <f>IF('Newtonus.Calculator.T Head.Pipe'!$AU$23=6,Tot.Head!Z77)</f>
        <v>0</v>
      </c>
      <c r="AA85" s="106" t="b">
        <f>IF('Newtonus.Calculator.T Head.Pipe'!$AU$23=6,Tot.Head!AA77)</f>
        <v>0</v>
      </c>
      <c r="AB85" s="106" t="b">
        <f>IF('Newtonus.Calculator.T Head.Pipe'!$AU$23=6,Tot.Head!AB77)</f>
        <v>0</v>
      </c>
      <c r="AC85" s="106" t="b">
        <f>IF('Newtonus.Calculator.T Head.Pipe'!$AU$23=6,Tot.Head!AC77)</f>
        <v>0</v>
      </c>
      <c r="AD85" s="106" t="b">
        <f>IF('Newtonus.Calculator.T Head.Pipe'!$AU$23=6,Tot.Head!AD77)</f>
        <v>0</v>
      </c>
      <c r="AE85" s="106" t="b">
        <f>IF('Newtonus.Calculator.T Head.Pipe'!$AU$23=6,Tot.Head!AE77)</f>
        <v>0</v>
      </c>
      <c r="AF85" s="106" t="b">
        <f>IF('Newtonus.Calculator.T Head.Pipe'!$AU$23=6,Tot.Head!AF77)</f>
        <v>0</v>
      </c>
      <c r="AG85" s="106" t="b">
        <f>IF('Newtonus.Calculator.T Head.Pipe'!$AU$23=6,Tot.Head!AG77)</f>
        <v>0</v>
      </c>
      <c r="AH85" s="104">
        <f t="shared" si="9"/>
        <v>0</v>
      </c>
    </row>
    <row r="86" spans="1:35" x14ac:dyDescent="0.2">
      <c r="A86" s="842" t="s">
        <v>165</v>
      </c>
      <c r="B86" s="842"/>
      <c r="C86" s="842"/>
      <c r="D86">
        <v>30</v>
      </c>
      <c r="F86" s="168">
        <f>G86</f>
        <v>406909</v>
      </c>
      <c r="G86" s="169">
        <f>F84+G85</f>
        <v>406909</v>
      </c>
      <c r="H86" s="165" t="s">
        <v>221</v>
      </c>
      <c r="O86" s="99">
        <v>7</v>
      </c>
      <c r="P86" s="100" t="s">
        <v>116</v>
      </c>
      <c r="Q86" s="106" t="b">
        <f>IF('Newtonus.Calculator.T Head.Pipe'!$AU$23=7,Tot.Head!Q78)</f>
        <v>0</v>
      </c>
      <c r="R86" s="106" t="b">
        <f>IF('Newtonus.Calculator.T Head.Pipe'!$AU$23=7,Tot.Head!R78)</f>
        <v>0</v>
      </c>
      <c r="S86" s="106" t="b">
        <f>IF('Newtonus.Calculator.T Head.Pipe'!$AU$23=7,Tot.Head!S78)</f>
        <v>0</v>
      </c>
      <c r="T86" s="106" t="b">
        <f>IF('Newtonus.Calculator.T Head.Pipe'!$AU$23=7,Tot.Head!T78)</f>
        <v>0</v>
      </c>
      <c r="U86" s="106" t="b">
        <f>IF('Newtonus.Calculator.T Head.Pipe'!$AU$23=7,Tot.Head!U78)</f>
        <v>0</v>
      </c>
      <c r="V86" s="106" t="b">
        <f>IF('Newtonus.Calculator.T Head.Pipe'!$AU$23=7,Tot.Head!V78)</f>
        <v>0</v>
      </c>
      <c r="W86" s="106" t="b">
        <f>IF('Newtonus.Calculator.T Head.Pipe'!$AU$23=7,Tot.Head!W78)</f>
        <v>0</v>
      </c>
      <c r="X86" s="106" t="b">
        <f>IF('Newtonus.Calculator.T Head.Pipe'!$AU$23=7,Tot.Head!X78)</f>
        <v>0</v>
      </c>
      <c r="Y86" s="106" t="b">
        <f>IF('Newtonus.Calculator.T Head.Pipe'!$AU$23=7,Tot.Head!Y78)</f>
        <v>0</v>
      </c>
      <c r="Z86" s="106" t="b">
        <f>IF('Newtonus.Calculator.T Head.Pipe'!$AU$23=7,Tot.Head!Z78)</f>
        <v>0</v>
      </c>
      <c r="AA86" s="106" t="b">
        <f>IF('Newtonus.Calculator.T Head.Pipe'!$AU$23=7,Tot.Head!AA78)</f>
        <v>0</v>
      </c>
      <c r="AB86" s="106" t="b">
        <f>IF('Newtonus.Calculator.T Head.Pipe'!$AU$23=7,Tot.Head!AB78)</f>
        <v>0</v>
      </c>
      <c r="AC86" s="106" t="b">
        <f>IF('Newtonus.Calculator.T Head.Pipe'!$AU$23=7,Tot.Head!AC78)</f>
        <v>0</v>
      </c>
      <c r="AD86" s="106" t="b">
        <f>IF('Newtonus.Calculator.T Head.Pipe'!$AU$23=7,Tot.Head!AD78)</f>
        <v>0</v>
      </c>
      <c r="AE86" s="106" t="b">
        <f>IF('Newtonus.Calculator.T Head.Pipe'!$AU$23=7,Tot.Head!AE78)</f>
        <v>0</v>
      </c>
      <c r="AF86" s="106" t="b">
        <f>IF('Newtonus.Calculator.T Head.Pipe'!$AU$23=7,Tot.Head!AF78)</f>
        <v>0</v>
      </c>
      <c r="AG86" s="106" t="b">
        <f>IF('Newtonus.Calculator.T Head.Pipe'!$AU$23=7,Tot.Head!AG78)</f>
        <v>0</v>
      </c>
      <c r="AH86" s="104">
        <f t="shared" si="9"/>
        <v>0</v>
      </c>
    </row>
    <row r="87" spans="1:35" x14ac:dyDescent="0.2">
      <c r="A87" s="842" t="s">
        <v>166</v>
      </c>
      <c r="B87" s="842"/>
      <c r="C87" s="842"/>
      <c r="D87">
        <v>-1000</v>
      </c>
      <c r="O87" s="128" t="s">
        <v>122</v>
      </c>
      <c r="P87" s="128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4">
        <f>SUM(AH80:AH86)</f>
        <v>0</v>
      </c>
      <c r="AI87" s="87" t="s">
        <v>124</v>
      </c>
    </row>
    <row r="88" spans="1:35" x14ac:dyDescent="0.2">
      <c r="A88" s="842" t="s">
        <v>167</v>
      </c>
      <c r="B88" s="842"/>
      <c r="C88" s="842"/>
      <c r="D88">
        <v>-1000</v>
      </c>
      <c r="O88" s="99">
        <v>1</v>
      </c>
      <c r="P88" s="100" t="s">
        <v>94</v>
      </c>
      <c r="Q88" s="106" t="b">
        <f>IF('Newtonus.Calculator.T Head.Pipe'!$AX$27=1,Tot.Head!$Q3)</f>
        <v>0</v>
      </c>
      <c r="R88" s="106" t="b">
        <f>IF('Newtonus.Calculator.T Head.Pipe'!$AX$27=2,Tot.Head!$R3)</f>
        <v>0</v>
      </c>
      <c r="S88" s="106" t="b">
        <f>IF('Newtonus.Calculator.T Head.Pipe'!$AX$27=3,Tot.Head!$S3)</f>
        <v>0</v>
      </c>
      <c r="T88" s="106" t="b">
        <f>IF('Newtonus.Calculator.T Head.Pipe'!$AX$27=4,Tot.Head!$T3)</f>
        <v>0</v>
      </c>
      <c r="U88" s="106" t="b">
        <f>IF('Newtonus.Calculator.T Head.Pipe'!$AX$27=5,Tot.Head!$U3)</f>
        <v>0</v>
      </c>
      <c r="V88" s="106" t="b">
        <f>IF('Newtonus.Calculator.T Head.Pipe'!$AX$27=6,Tot.Head!$V3)</f>
        <v>0</v>
      </c>
      <c r="W88" s="106" t="b">
        <f>IF('Newtonus.Calculator.T Head.Pipe'!$AX$27=7,Tot.Head!$W3)</f>
        <v>0</v>
      </c>
      <c r="X88" s="106" t="b">
        <f>IF('Newtonus.Calculator.T Head.Pipe'!$AX$27=8,Tot.Head!$X3)</f>
        <v>0</v>
      </c>
      <c r="Y88" s="106" t="b">
        <f>IF('Newtonus.Calculator.T Head.Pipe'!$AX$27=9,Tot.Head!$Y3)</f>
        <v>0</v>
      </c>
      <c r="Z88" s="106" t="b">
        <f>IF('Newtonus.Calculator.T Head.Pipe'!$AX$27=10,Tot.Head!$Z3)</f>
        <v>0</v>
      </c>
      <c r="AA88" s="106" t="b">
        <f>IF('Newtonus.Calculator.T Head.Pipe'!$AX$27=11,Tot.Head!$AA3)</f>
        <v>0</v>
      </c>
      <c r="AB88" s="106" t="b">
        <f>IF('Newtonus.Calculator.T Head.Pipe'!$AX$27=12,Tot.Head!$AB3)</f>
        <v>0</v>
      </c>
      <c r="AC88" s="106" t="b">
        <f>IF('Newtonus.Calculator.T Head.Pipe'!$AX$27=13,Tot.Head!$AC3)</f>
        <v>0</v>
      </c>
      <c r="AD88" s="106" t="b">
        <f>IF('Newtonus.Calculator.T Head.Pipe'!$AX$27=14,Tot.Head!$AD3)</f>
        <v>0</v>
      </c>
      <c r="AE88" s="106" t="b">
        <f>IF('Newtonus.Calculator.T Head.Pipe'!$AX$27=15,Tot.Head!$AE3)</f>
        <v>0</v>
      </c>
      <c r="AF88" s="106" t="b">
        <f>IF('Newtonus.Calculator.T Head.Pipe'!$AX$27=16,Tot.Head!$AF3)</f>
        <v>0</v>
      </c>
      <c r="AG88" s="106" t="b">
        <f>IF('Newtonus.Calculator.T Head.Pipe'!$AX$27=17,Tot.Head!$AG3)</f>
        <v>0</v>
      </c>
      <c r="AH88" s="104"/>
    </row>
    <row r="89" spans="1:35" x14ac:dyDescent="0.2">
      <c r="A89" t="s">
        <v>171</v>
      </c>
      <c r="D89" s="164" t="s">
        <v>172</v>
      </c>
      <c r="O89" s="99">
        <v>2</v>
      </c>
      <c r="P89" s="100" t="s">
        <v>103</v>
      </c>
      <c r="Q89" s="106" t="b">
        <f>IF('Newtonus.Calculator.T Head.Pipe'!$AX$27=1,Tot.Head!$Q4)</f>
        <v>0</v>
      </c>
      <c r="R89" s="106" t="b">
        <f>IF('Newtonus.Calculator.T Head.Pipe'!$AX$27=2,Tot.Head!$R4)</f>
        <v>0</v>
      </c>
      <c r="S89" s="106" t="b">
        <f>IF('Newtonus.Calculator.T Head.Pipe'!$AX$27=3,Tot.Head!$S4)</f>
        <v>0</v>
      </c>
      <c r="T89" s="106" t="b">
        <f>IF('Newtonus.Calculator.T Head.Pipe'!$AX$27=4,Tot.Head!$T4)</f>
        <v>0</v>
      </c>
      <c r="U89" s="106" t="b">
        <f>IF('Newtonus.Calculator.T Head.Pipe'!$AX$27=5,Tot.Head!$U4)</f>
        <v>0</v>
      </c>
      <c r="V89" s="106" t="b">
        <f>IF('Newtonus.Calculator.T Head.Pipe'!$AX$27=6,Tot.Head!$V4)</f>
        <v>0</v>
      </c>
      <c r="W89" s="106" t="b">
        <f>IF('Newtonus.Calculator.T Head.Pipe'!$AX$27=7,Tot.Head!$W4)</f>
        <v>0</v>
      </c>
      <c r="X89" s="106" t="b">
        <f>IF('Newtonus.Calculator.T Head.Pipe'!$AX$27=8,Tot.Head!$X4)</f>
        <v>0</v>
      </c>
      <c r="Y89" s="106" t="b">
        <f>IF('Newtonus.Calculator.T Head.Pipe'!$AX$27=9,Tot.Head!$Y4)</f>
        <v>0</v>
      </c>
      <c r="Z89" s="106" t="b">
        <f>IF('Newtonus.Calculator.T Head.Pipe'!$AX$27=10,Tot.Head!$Z4)</f>
        <v>0</v>
      </c>
      <c r="AA89" s="106" t="b">
        <f>IF('Newtonus.Calculator.T Head.Pipe'!$AX$27=11,Tot.Head!$AA4)</f>
        <v>0</v>
      </c>
      <c r="AB89" s="106" t="b">
        <f>IF('Newtonus.Calculator.T Head.Pipe'!$AX$27=12,Tot.Head!$AB4)</f>
        <v>0</v>
      </c>
      <c r="AC89" s="106" t="b">
        <f>IF('Newtonus.Calculator.T Head.Pipe'!$AX$27=13,Tot.Head!$AC4)</f>
        <v>0</v>
      </c>
      <c r="AD89" s="106" t="b">
        <f>IF('Newtonus.Calculator.T Head.Pipe'!$AX$27=14,Tot.Head!$AD4)</f>
        <v>0</v>
      </c>
      <c r="AE89" s="106" t="b">
        <f>IF('Newtonus.Calculator.T Head.Pipe'!$AX$27=15,Tot.Head!$AE4)</f>
        <v>0</v>
      </c>
      <c r="AF89" s="106" t="b">
        <f>IF('Newtonus.Calculator.T Head.Pipe'!$AX$27=16,Tot.Head!$AF4)</f>
        <v>0</v>
      </c>
      <c r="AG89" s="106" t="b">
        <f>IF('Newtonus.Calculator.T Head.Pipe'!$AX$27=17,Tot.Head!$AG4)</f>
        <v>0</v>
      </c>
      <c r="AH89" s="104"/>
    </row>
    <row r="90" spans="1:35" x14ac:dyDescent="0.2">
      <c r="O90" s="99">
        <v>3</v>
      </c>
      <c r="P90" s="100" t="s">
        <v>102</v>
      </c>
      <c r="Q90" s="106" t="b">
        <f>IF('Newtonus.Calculator.T Head.Pipe'!$AX$27=1,Tot.Head!$Q5)</f>
        <v>0</v>
      </c>
      <c r="R90" s="106" t="b">
        <f>IF('Newtonus.Calculator.T Head.Pipe'!$AX$27=2,Tot.Head!$R5)</f>
        <v>0</v>
      </c>
      <c r="S90" s="106" t="b">
        <f>IF('Newtonus.Calculator.T Head.Pipe'!$AX$27=3,Tot.Head!$S5)</f>
        <v>0</v>
      </c>
      <c r="T90" s="106" t="b">
        <f>IF('Newtonus.Calculator.T Head.Pipe'!$AX$27=4,Tot.Head!$T5)</f>
        <v>0</v>
      </c>
      <c r="U90" s="106" t="b">
        <f>IF('Newtonus.Calculator.T Head.Pipe'!$AX$27=5,Tot.Head!$U5)</f>
        <v>0</v>
      </c>
      <c r="V90" s="106" t="b">
        <f>IF('Newtonus.Calculator.T Head.Pipe'!$AX$27=6,Tot.Head!$V5)</f>
        <v>0</v>
      </c>
      <c r="W90" s="106" t="b">
        <f>IF('Newtonus.Calculator.T Head.Pipe'!$AX$27=7,Tot.Head!$W5)</f>
        <v>0</v>
      </c>
      <c r="X90" s="106" t="b">
        <f>IF('Newtonus.Calculator.T Head.Pipe'!$AX$27=8,Tot.Head!$X5)</f>
        <v>0</v>
      </c>
      <c r="Y90" s="106" t="b">
        <f>IF('Newtonus.Calculator.T Head.Pipe'!$AX$27=9,Tot.Head!$Y5)</f>
        <v>0</v>
      </c>
      <c r="Z90" s="106" t="b">
        <f>IF('Newtonus.Calculator.T Head.Pipe'!$AX$27=10,Tot.Head!$Z5)</f>
        <v>0</v>
      </c>
      <c r="AA90" s="106" t="b">
        <f>IF('Newtonus.Calculator.T Head.Pipe'!$AX$27=11,Tot.Head!$AA5)</f>
        <v>0</v>
      </c>
      <c r="AB90" s="106" t="b">
        <f>IF('Newtonus.Calculator.T Head.Pipe'!$AX$27=12,Tot.Head!$AB5)</f>
        <v>0</v>
      </c>
      <c r="AC90" s="106" t="b">
        <f>IF('Newtonus.Calculator.T Head.Pipe'!$AX$27=13,Tot.Head!$AC5)</f>
        <v>0</v>
      </c>
      <c r="AD90" s="106" t="b">
        <f>IF('Newtonus.Calculator.T Head.Pipe'!$AX$27=14,Tot.Head!$AD5)</f>
        <v>0</v>
      </c>
      <c r="AE90" s="106" t="b">
        <f>IF('Newtonus.Calculator.T Head.Pipe'!$AX$27=15,Tot.Head!$AE5)</f>
        <v>0</v>
      </c>
      <c r="AF90" s="106" t="b">
        <f>IF('Newtonus.Calculator.T Head.Pipe'!$AX$27=16,Tot.Head!$AF5)</f>
        <v>0</v>
      </c>
      <c r="AG90" s="106" t="b">
        <f>IF('Newtonus.Calculator.T Head.Pipe'!$AX$27=17,Tot.Head!$AG5)</f>
        <v>0</v>
      </c>
      <c r="AH90" s="104"/>
    </row>
    <row r="91" spans="1:35" x14ac:dyDescent="0.2">
      <c r="C91" s="161" t="s">
        <v>1</v>
      </c>
      <c r="O91" s="99">
        <v>4</v>
      </c>
      <c r="P91" s="87" t="s">
        <v>95</v>
      </c>
      <c r="Q91" s="106" t="b">
        <f>IF('Newtonus.Calculator.T Head.Pipe'!$AX$27=1,Tot.Head!$Q6)</f>
        <v>0</v>
      </c>
      <c r="R91" s="106" t="b">
        <f>IF('Newtonus.Calculator.T Head.Pipe'!$AX$27=2,Tot.Head!$R6)</f>
        <v>0</v>
      </c>
      <c r="S91" s="106" t="b">
        <f>IF('Newtonus.Calculator.T Head.Pipe'!$AX$27=3,Tot.Head!$S6)</f>
        <v>0</v>
      </c>
      <c r="T91" s="106" t="b">
        <f>IF('Newtonus.Calculator.T Head.Pipe'!$AX$27=4,Tot.Head!$T6)</f>
        <v>0</v>
      </c>
      <c r="U91" s="106" t="b">
        <f>IF('Newtonus.Calculator.T Head.Pipe'!$AX$27=5,Tot.Head!$U6)</f>
        <v>0</v>
      </c>
      <c r="V91" s="106" t="b">
        <f>IF('Newtonus.Calculator.T Head.Pipe'!$AX$27=6,Tot.Head!$V6)</f>
        <v>0</v>
      </c>
      <c r="W91" s="106" t="b">
        <f>IF('Newtonus.Calculator.T Head.Pipe'!$AX$27=7,Tot.Head!$W6)</f>
        <v>0</v>
      </c>
      <c r="X91" s="106" t="b">
        <f>IF('Newtonus.Calculator.T Head.Pipe'!$AX$27=8,Tot.Head!$X6)</f>
        <v>0</v>
      </c>
      <c r="Y91" s="106" t="b">
        <f>IF('Newtonus.Calculator.T Head.Pipe'!$AX$27=9,Tot.Head!$Y6)</f>
        <v>0</v>
      </c>
      <c r="Z91" s="106" t="b">
        <f>IF('Newtonus.Calculator.T Head.Pipe'!$AX$27=10,Tot.Head!$Z6)</f>
        <v>0</v>
      </c>
      <c r="AA91" s="106" t="b">
        <f>IF('Newtonus.Calculator.T Head.Pipe'!$AX$27=11,Tot.Head!$AA6)</f>
        <v>0</v>
      </c>
      <c r="AB91" s="106" t="b">
        <f>IF('Newtonus.Calculator.T Head.Pipe'!$AX$27=12,Tot.Head!$AB6)</f>
        <v>0</v>
      </c>
      <c r="AC91" s="106" t="b">
        <f>IF('Newtonus.Calculator.T Head.Pipe'!$AX$27=13,Tot.Head!$AC6)</f>
        <v>0</v>
      </c>
      <c r="AD91" s="106" t="b">
        <f>IF('Newtonus.Calculator.T Head.Pipe'!$AX$27=14,Tot.Head!$AD6)</f>
        <v>0</v>
      </c>
      <c r="AE91" s="106" t="b">
        <f>IF('Newtonus.Calculator.T Head.Pipe'!$AX$27=15,Tot.Head!$AE6)</f>
        <v>0</v>
      </c>
      <c r="AF91" s="106" t="b">
        <f>IF('Newtonus.Calculator.T Head.Pipe'!$AX$27=16,Tot.Head!$AF6)</f>
        <v>0</v>
      </c>
      <c r="AG91" s="106" t="b">
        <f>IF('Newtonus.Calculator.T Head.Pipe'!$AX$27=17,Tot.Head!$AG6)</f>
        <v>0</v>
      </c>
      <c r="AH91" s="104"/>
    </row>
    <row r="92" spans="1:35" x14ac:dyDescent="0.2">
      <c r="C92" s="161" t="s">
        <v>1</v>
      </c>
      <c r="O92" s="99">
        <v>5</v>
      </c>
      <c r="P92" s="100" t="s">
        <v>96</v>
      </c>
      <c r="Q92" s="106" t="b">
        <f>IF('Newtonus.Calculator.T Head.Pipe'!$AX$27=1,Tot.Head!$Q7)</f>
        <v>0</v>
      </c>
      <c r="R92" s="106" t="b">
        <f>IF('Newtonus.Calculator.T Head.Pipe'!$AX$27=2,Tot.Head!$R7)</f>
        <v>0</v>
      </c>
      <c r="S92" s="106" t="b">
        <f>IF('Newtonus.Calculator.T Head.Pipe'!$AX$27=3,Tot.Head!$S7)</f>
        <v>0</v>
      </c>
      <c r="T92" s="106" t="b">
        <f>IF('Newtonus.Calculator.T Head.Pipe'!$AX$27=4,Tot.Head!$T7)</f>
        <v>0</v>
      </c>
      <c r="U92" s="106" t="b">
        <f>IF('Newtonus.Calculator.T Head.Pipe'!$AX$27=5,Tot.Head!$U7)</f>
        <v>0</v>
      </c>
      <c r="V92" s="106" t="b">
        <f>IF('Newtonus.Calculator.T Head.Pipe'!$AX$27=6,Tot.Head!$V7)</f>
        <v>0</v>
      </c>
      <c r="W92" s="106" t="b">
        <f>IF('Newtonus.Calculator.T Head.Pipe'!$AX$27=7,Tot.Head!$W7)</f>
        <v>0</v>
      </c>
      <c r="X92" s="106" t="b">
        <f>IF('Newtonus.Calculator.T Head.Pipe'!$AX$27=8,Tot.Head!$X7)</f>
        <v>0</v>
      </c>
      <c r="Y92" s="106" t="b">
        <f>IF('Newtonus.Calculator.T Head.Pipe'!$AX$27=9,Tot.Head!$Y7)</f>
        <v>0</v>
      </c>
      <c r="Z92" s="106" t="b">
        <f>IF('Newtonus.Calculator.T Head.Pipe'!$AX$27=10,Tot.Head!$Z7)</f>
        <v>0</v>
      </c>
      <c r="AA92" s="106" t="b">
        <f>IF('Newtonus.Calculator.T Head.Pipe'!$AX$27=11,Tot.Head!$AA7)</f>
        <v>0</v>
      </c>
      <c r="AB92" s="106" t="b">
        <f>IF('Newtonus.Calculator.T Head.Pipe'!$AX$27=12,Tot.Head!$AB7)</f>
        <v>0</v>
      </c>
      <c r="AC92" s="106" t="b">
        <f>IF('Newtonus.Calculator.T Head.Pipe'!$AX$27=13,Tot.Head!$AC7)</f>
        <v>0</v>
      </c>
      <c r="AD92" s="106" t="b">
        <f>IF('Newtonus.Calculator.T Head.Pipe'!$AX$27=14,Tot.Head!$AD7)</f>
        <v>0</v>
      </c>
      <c r="AE92" s="106" t="b">
        <f>IF('Newtonus.Calculator.T Head.Pipe'!$AX$27=15,Tot.Head!$AE7)</f>
        <v>0</v>
      </c>
      <c r="AF92" s="106" t="b">
        <f>IF('Newtonus.Calculator.T Head.Pipe'!$AX$27=16,Tot.Head!$AF7)</f>
        <v>0</v>
      </c>
      <c r="AG92" s="106" t="b">
        <f>IF('Newtonus.Calculator.T Head.Pipe'!$AX$27=17,Tot.Head!$AG7)</f>
        <v>0</v>
      </c>
      <c r="AH92" s="104"/>
    </row>
    <row r="93" spans="1:35" x14ac:dyDescent="0.2">
      <c r="O93" s="99">
        <v>6</v>
      </c>
      <c r="P93" s="100" t="s">
        <v>117</v>
      </c>
      <c r="Q93" s="106" t="b">
        <f>IF('Newtonus.Calculator.T Head.Pipe'!$AX$27=1,Tot.Head!$Q8)</f>
        <v>0</v>
      </c>
      <c r="R93" s="106" t="b">
        <f>IF('Newtonus.Calculator.T Head.Pipe'!$AX$27=2,Tot.Head!$R8)</f>
        <v>0</v>
      </c>
      <c r="S93" s="106" t="b">
        <f>IF('Newtonus.Calculator.T Head.Pipe'!$AX$27=3,Tot.Head!$S8)</f>
        <v>0</v>
      </c>
      <c r="T93" s="106" t="b">
        <f>IF('Newtonus.Calculator.T Head.Pipe'!$AX$27=4,Tot.Head!$T8)</f>
        <v>0</v>
      </c>
      <c r="U93" s="106" t="b">
        <f>IF('Newtonus.Calculator.T Head.Pipe'!$AX$27=5,Tot.Head!$U8)</f>
        <v>0</v>
      </c>
      <c r="V93" s="106" t="b">
        <f>IF('Newtonus.Calculator.T Head.Pipe'!$AX$27=6,Tot.Head!$V8)</f>
        <v>0</v>
      </c>
      <c r="W93" s="106" t="b">
        <f>IF('Newtonus.Calculator.T Head.Pipe'!$AX$27=7,Tot.Head!$W8)</f>
        <v>0</v>
      </c>
      <c r="X93" s="106" t="b">
        <f>IF('Newtonus.Calculator.T Head.Pipe'!$AX$27=8,Tot.Head!$X8)</f>
        <v>0</v>
      </c>
      <c r="Y93" s="106" t="b">
        <f>IF('Newtonus.Calculator.T Head.Pipe'!$AX$27=9,Tot.Head!$Y8)</f>
        <v>0</v>
      </c>
      <c r="Z93" s="106" t="b">
        <f>IF('Newtonus.Calculator.T Head.Pipe'!$AX$27=10,Tot.Head!$Z8)</f>
        <v>0</v>
      </c>
      <c r="AA93" s="106" t="b">
        <f>IF('Newtonus.Calculator.T Head.Pipe'!$AX$27=11,Tot.Head!$AA8)</f>
        <v>0</v>
      </c>
      <c r="AB93" s="106" t="b">
        <f>IF('Newtonus.Calculator.T Head.Pipe'!$AX$27=12,Tot.Head!$AB8)</f>
        <v>0</v>
      </c>
      <c r="AC93" s="106" t="b">
        <f>IF('Newtonus.Calculator.T Head.Pipe'!$AX$27=13,Tot.Head!$AC8)</f>
        <v>0</v>
      </c>
      <c r="AD93" s="106" t="b">
        <f>IF('Newtonus.Calculator.T Head.Pipe'!$AX$27=14,Tot.Head!$AD8)</f>
        <v>0</v>
      </c>
      <c r="AE93" s="106" t="b">
        <f>IF('Newtonus.Calculator.T Head.Pipe'!$AX$27=15,Tot.Head!$AE8)</f>
        <v>0</v>
      </c>
      <c r="AF93" s="106" t="b">
        <f>IF('Newtonus.Calculator.T Head.Pipe'!$AX$27=16,Tot.Head!$AF8)</f>
        <v>0</v>
      </c>
      <c r="AG93" s="106" t="b">
        <f>IF('Newtonus.Calculator.T Head.Pipe'!$AX$27=17,Tot.Head!$AG8)</f>
        <v>0</v>
      </c>
      <c r="AH93" s="104"/>
    </row>
    <row r="94" spans="1:35" x14ac:dyDescent="0.2">
      <c r="O94" s="99">
        <v>7</v>
      </c>
      <c r="P94" s="100" t="s">
        <v>116</v>
      </c>
      <c r="Q94" s="106" t="b">
        <f>IF('Newtonus.Calculator.T Head.Pipe'!$AX$27=1,Tot.Head!$Q9)</f>
        <v>0</v>
      </c>
      <c r="R94" s="106" t="b">
        <f>IF('Newtonus.Calculator.T Head.Pipe'!$AX$27=2,Tot.Head!$R9)</f>
        <v>0</v>
      </c>
      <c r="S94" s="106" t="b">
        <f>IF('Newtonus.Calculator.T Head.Pipe'!$AX$27=3,Tot.Head!$S9)</f>
        <v>0</v>
      </c>
      <c r="T94" s="106" t="b">
        <f>IF('Newtonus.Calculator.T Head.Pipe'!$AX$27=4,Tot.Head!$T9)</f>
        <v>0</v>
      </c>
      <c r="U94" s="106" t="b">
        <f>IF('Newtonus.Calculator.T Head.Pipe'!$AX$27=5,Tot.Head!$U9)</f>
        <v>0</v>
      </c>
      <c r="V94" s="106" t="b">
        <f>IF('Newtonus.Calculator.T Head.Pipe'!$AX$27=6,Tot.Head!$V9)</f>
        <v>0</v>
      </c>
      <c r="W94" s="106" t="b">
        <f>IF('Newtonus.Calculator.T Head.Pipe'!$AX$27=7,Tot.Head!$W9)</f>
        <v>0</v>
      </c>
      <c r="X94" s="106" t="b">
        <f>IF('Newtonus.Calculator.T Head.Pipe'!$AX$27=8,Tot.Head!$X9)</f>
        <v>0</v>
      </c>
      <c r="Y94" s="106" t="b">
        <f>IF('Newtonus.Calculator.T Head.Pipe'!$AX$27=9,Tot.Head!$Y9)</f>
        <v>0</v>
      </c>
      <c r="Z94" s="106" t="b">
        <f>IF('Newtonus.Calculator.T Head.Pipe'!$AX$27=10,Tot.Head!$Z9)</f>
        <v>0</v>
      </c>
      <c r="AA94" s="106" t="b">
        <f>IF('Newtonus.Calculator.T Head.Pipe'!$AX$27=11,Tot.Head!$AA9)</f>
        <v>0</v>
      </c>
      <c r="AB94" s="106" t="b">
        <f>IF('Newtonus.Calculator.T Head.Pipe'!$AX$27=12,Tot.Head!$AB9)</f>
        <v>0</v>
      </c>
      <c r="AC94" s="106" t="b">
        <f>IF('Newtonus.Calculator.T Head.Pipe'!$AX$27=13,Tot.Head!$AC9)</f>
        <v>0</v>
      </c>
      <c r="AD94" s="106" t="b">
        <f>IF('Newtonus.Calculator.T Head.Pipe'!$AX$27=14,Tot.Head!$AD9)</f>
        <v>0</v>
      </c>
      <c r="AE94" s="106" t="b">
        <f>IF('Newtonus.Calculator.T Head.Pipe'!$AX$27=15,Tot.Head!$AE9)</f>
        <v>0</v>
      </c>
      <c r="AF94" s="106" t="b">
        <f>IF('Newtonus.Calculator.T Head.Pipe'!$AX$27=16,Tot.Head!$AF9)</f>
        <v>0</v>
      </c>
      <c r="AG94" s="106" t="b">
        <f>IF('Newtonus.Calculator.T Head.Pipe'!$AX$27=17,Tot.Head!$AG9)</f>
        <v>0</v>
      </c>
      <c r="AH94" s="104"/>
    </row>
    <row r="95" spans="1:35" x14ac:dyDescent="0.2"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4"/>
    </row>
    <row r="96" spans="1:35" x14ac:dyDescent="0.2">
      <c r="O96" s="99">
        <v>1</v>
      </c>
      <c r="P96" s="100" t="s">
        <v>94</v>
      </c>
      <c r="Q96" s="106" t="b">
        <f>IF('Newtonus.Calculator.T Head.Pipe'!$AX$23=1,Tot.Head!Q88)</f>
        <v>0</v>
      </c>
      <c r="R96" s="106" t="b">
        <f>IF('Newtonus.Calculator.T Head.Pipe'!$AX$23=1,Tot.Head!R88)</f>
        <v>0</v>
      </c>
      <c r="S96" s="106" t="b">
        <f>IF('Newtonus.Calculator.T Head.Pipe'!$AX$23=1,Tot.Head!S88)</f>
        <v>0</v>
      </c>
      <c r="T96" s="106" t="b">
        <f>IF('Newtonus.Calculator.T Head.Pipe'!$AX$23=1,Tot.Head!T88)</f>
        <v>0</v>
      </c>
      <c r="U96" s="106" t="b">
        <f>IF('Newtonus.Calculator.T Head.Pipe'!$AX$23=1,Tot.Head!U88)</f>
        <v>0</v>
      </c>
      <c r="V96" s="106" t="b">
        <f>IF('Newtonus.Calculator.T Head.Pipe'!$AX$23=1,Tot.Head!V88)</f>
        <v>0</v>
      </c>
      <c r="W96" s="106" t="b">
        <f>IF('Newtonus.Calculator.T Head.Pipe'!$AX$23=1,Tot.Head!W88)</f>
        <v>0</v>
      </c>
      <c r="X96" s="106" t="b">
        <f>IF('Newtonus.Calculator.T Head.Pipe'!$AX$23=1,Tot.Head!X88)</f>
        <v>0</v>
      </c>
      <c r="Y96" s="106" t="b">
        <f>IF('Newtonus.Calculator.T Head.Pipe'!$AX$23=1,Tot.Head!Y88)</f>
        <v>0</v>
      </c>
      <c r="Z96" s="106" t="b">
        <f>IF('Newtonus.Calculator.T Head.Pipe'!$AX$23=1,Tot.Head!Z88)</f>
        <v>0</v>
      </c>
      <c r="AA96" s="106" t="b">
        <f>IF('Newtonus.Calculator.T Head.Pipe'!$AX$23=1,Tot.Head!AA88)</f>
        <v>0</v>
      </c>
      <c r="AB96" s="106" t="b">
        <f>IF('Newtonus.Calculator.T Head.Pipe'!$AX$23=1,Tot.Head!AB88)</f>
        <v>0</v>
      </c>
      <c r="AC96" s="106" t="b">
        <f>IF('Newtonus.Calculator.T Head.Pipe'!$AX$23=1,Tot.Head!AC88)</f>
        <v>0</v>
      </c>
      <c r="AD96" s="106" t="b">
        <f>IF('Newtonus.Calculator.T Head.Pipe'!$AX$23=1,Tot.Head!AD88)</f>
        <v>0</v>
      </c>
      <c r="AE96" s="106" t="b">
        <f>IF('Newtonus.Calculator.T Head.Pipe'!$AX$23=1,Tot.Head!AE88)</f>
        <v>0</v>
      </c>
      <c r="AF96" s="106" t="b">
        <f>IF('Newtonus.Calculator.T Head.Pipe'!$AX$23=1,Tot.Head!AF88)</f>
        <v>0</v>
      </c>
      <c r="AG96" s="106" t="b">
        <f>IF('Newtonus.Calculator.T Head.Pipe'!$AX$23=1,Tot.Head!AG88)</f>
        <v>0</v>
      </c>
      <c r="AH96" s="104">
        <f>SUM(Q96:AG96)</f>
        <v>0</v>
      </c>
    </row>
    <row r="97" spans="12:35" x14ac:dyDescent="0.2">
      <c r="O97" s="99">
        <v>2</v>
      </c>
      <c r="P97" s="100" t="s">
        <v>103</v>
      </c>
      <c r="Q97" s="106" t="b">
        <f>IF('Newtonus.Calculator.T Head.Pipe'!$AX$23=2,Tot.Head!Q89)</f>
        <v>0</v>
      </c>
      <c r="R97" s="106" t="b">
        <f>IF('Newtonus.Calculator.T Head.Pipe'!$AX$23=2,Tot.Head!R89)</f>
        <v>0</v>
      </c>
      <c r="S97" s="106" t="b">
        <f>IF('Newtonus.Calculator.T Head.Pipe'!$AX$23=2,Tot.Head!S89)</f>
        <v>0</v>
      </c>
      <c r="T97" s="106" t="b">
        <f>IF('Newtonus.Calculator.T Head.Pipe'!$AX$23=2,Tot.Head!T89)</f>
        <v>0</v>
      </c>
      <c r="U97" s="106" t="b">
        <f>IF('Newtonus.Calculator.T Head.Pipe'!$AX$23=2,Tot.Head!U89)</f>
        <v>0</v>
      </c>
      <c r="V97" s="106" t="b">
        <f>IF('Newtonus.Calculator.T Head.Pipe'!$AX$23=2,Tot.Head!V89)</f>
        <v>0</v>
      </c>
      <c r="W97" s="106" t="b">
        <f>IF('Newtonus.Calculator.T Head.Pipe'!$AX$23=2,Tot.Head!W89)</f>
        <v>0</v>
      </c>
      <c r="X97" s="106" t="b">
        <f>IF('Newtonus.Calculator.T Head.Pipe'!$AX$23=2,Tot.Head!X89)</f>
        <v>0</v>
      </c>
      <c r="Y97" s="106" t="b">
        <f>IF('Newtonus.Calculator.T Head.Pipe'!$AX$23=2,Tot.Head!Y89)</f>
        <v>0</v>
      </c>
      <c r="Z97" s="106" t="b">
        <f>IF('Newtonus.Calculator.T Head.Pipe'!$AX$23=2,Tot.Head!Z89)</f>
        <v>0</v>
      </c>
      <c r="AA97" s="106" t="b">
        <f>IF('Newtonus.Calculator.T Head.Pipe'!$AX$23=2,Tot.Head!AA89)</f>
        <v>0</v>
      </c>
      <c r="AB97" s="106" t="b">
        <f>IF('Newtonus.Calculator.T Head.Pipe'!$AX$23=2,Tot.Head!AB89)</f>
        <v>0</v>
      </c>
      <c r="AC97" s="106" t="b">
        <f>IF('Newtonus.Calculator.T Head.Pipe'!$AX$23=2,Tot.Head!AC89)</f>
        <v>0</v>
      </c>
      <c r="AD97" s="106" t="b">
        <f>IF('Newtonus.Calculator.T Head.Pipe'!$AX$23=2,Tot.Head!AD89)</f>
        <v>0</v>
      </c>
      <c r="AE97" s="106" t="b">
        <f>IF('Newtonus.Calculator.T Head.Pipe'!$AX$23=2,Tot.Head!AE89)</f>
        <v>0</v>
      </c>
      <c r="AF97" s="106" t="b">
        <f>IF('Newtonus.Calculator.T Head.Pipe'!$AX$23=2,Tot.Head!AF89)</f>
        <v>0</v>
      </c>
      <c r="AG97" s="106" t="b">
        <f>IF('Newtonus.Calculator.T Head.Pipe'!$AX$23=2,Tot.Head!AG89)</f>
        <v>0</v>
      </c>
      <c r="AH97" s="104">
        <f t="shared" ref="AH97:AH102" si="10">SUM(Q97:AG97)</f>
        <v>0</v>
      </c>
    </row>
    <row r="98" spans="12:35" x14ac:dyDescent="0.2">
      <c r="O98" s="99">
        <v>3</v>
      </c>
      <c r="P98" s="100" t="s">
        <v>102</v>
      </c>
      <c r="Q98" s="106" t="b">
        <f>IF('Newtonus.Calculator.T Head.Pipe'!$AX$23=3,Tot.Head!Q90)</f>
        <v>0</v>
      </c>
      <c r="R98" s="106" t="b">
        <f>IF('Newtonus.Calculator.T Head.Pipe'!$AX$23=3,Tot.Head!R90)</f>
        <v>0</v>
      </c>
      <c r="S98" s="106" t="b">
        <f>IF('Newtonus.Calculator.T Head.Pipe'!$AX$23=3,Tot.Head!S90)</f>
        <v>0</v>
      </c>
      <c r="T98" s="106" t="b">
        <f>IF('Newtonus.Calculator.T Head.Pipe'!$AX$23=3,Tot.Head!T90)</f>
        <v>0</v>
      </c>
      <c r="U98" s="106" t="b">
        <f>IF('Newtonus.Calculator.T Head.Pipe'!$AX$23=3,Tot.Head!U90)</f>
        <v>0</v>
      </c>
      <c r="V98" s="106" t="b">
        <f>IF('Newtonus.Calculator.T Head.Pipe'!$AX$23=3,Tot.Head!V90)</f>
        <v>0</v>
      </c>
      <c r="W98" s="106" t="b">
        <f>IF('Newtonus.Calculator.T Head.Pipe'!$AX$23=3,Tot.Head!W90)</f>
        <v>0</v>
      </c>
      <c r="X98" s="106" t="b">
        <f>IF('Newtonus.Calculator.T Head.Pipe'!$AX$23=3,Tot.Head!X90)</f>
        <v>0</v>
      </c>
      <c r="Y98" s="106" t="b">
        <f>IF('Newtonus.Calculator.T Head.Pipe'!$AX$23=3,Tot.Head!Y90)</f>
        <v>0</v>
      </c>
      <c r="Z98" s="106" t="b">
        <f>IF('Newtonus.Calculator.T Head.Pipe'!$AX$23=3,Tot.Head!Z90)</f>
        <v>0</v>
      </c>
      <c r="AA98" s="106" t="b">
        <f>IF('Newtonus.Calculator.T Head.Pipe'!$AX$23=3,Tot.Head!AA90)</f>
        <v>0</v>
      </c>
      <c r="AB98" s="106" t="b">
        <f>IF('Newtonus.Calculator.T Head.Pipe'!$AX$23=3,Tot.Head!AB90)</f>
        <v>0</v>
      </c>
      <c r="AC98" s="106" t="b">
        <f>IF('Newtonus.Calculator.T Head.Pipe'!$AX$23=3,Tot.Head!AC90)</f>
        <v>0</v>
      </c>
      <c r="AD98" s="106" t="b">
        <f>IF('Newtonus.Calculator.T Head.Pipe'!$AX$23=3,Tot.Head!AD90)</f>
        <v>0</v>
      </c>
      <c r="AE98" s="106" t="b">
        <f>IF('Newtonus.Calculator.T Head.Pipe'!$AX$23=3,Tot.Head!AE90)</f>
        <v>0</v>
      </c>
      <c r="AF98" s="106" t="b">
        <f>IF('Newtonus.Calculator.T Head.Pipe'!$AX$23=3,Tot.Head!AF90)</f>
        <v>0</v>
      </c>
      <c r="AG98" s="106" t="b">
        <f>IF('Newtonus.Calculator.T Head.Pipe'!$AX$23=3,Tot.Head!AG90)</f>
        <v>0</v>
      </c>
      <c r="AH98" s="104">
        <f t="shared" si="10"/>
        <v>0</v>
      </c>
    </row>
    <row r="99" spans="12:35" x14ac:dyDescent="0.2">
      <c r="O99" s="99">
        <v>4</v>
      </c>
      <c r="P99" s="87" t="s">
        <v>95</v>
      </c>
      <c r="Q99" s="106" t="b">
        <f>IF('Newtonus.Calculator.T Head.Pipe'!$AX$23=4,Tot.Head!Q91)</f>
        <v>0</v>
      </c>
      <c r="R99" s="106" t="b">
        <f>IF('Newtonus.Calculator.T Head.Pipe'!$AX$23=4,Tot.Head!R91)</f>
        <v>0</v>
      </c>
      <c r="S99" s="106" t="b">
        <f>IF('Newtonus.Calculator.T Head.Pipe'!$AX$23=4,Tot.Head!S91)</f>
        <v>0</v>
      </c>
      <c r="T99" s="106" t="b">
        <f>IF('Newtonus.Calculator.T Head.Pipe'!$AX$23=4,Tot.Head!T91)</f>
        <v>0</v>
      </c>
      <c r="U99" s="106" t="b">
        <f>IF('Newtonus.Calculator.T Head.Pipe'!$AX$23=4,Tot.Head!U91)</f>
        <v>0</v>
      </c>
      <c r="V99" s="106" t="b">
        <f>IF('Newtonus.Calculator.T Head.Pipe'!$AX$23=4,Tot.Head!V91)</f>
        <v>0</v>
      </c>
      <c r="W99" s="106" t="b">
        <f>IF('Newtonus.Calculator.T Head.Pipe'!$AX$23=4,Tot.Head!W91)</f>
        <v>0</v>
      </c>
      <c r="X99" s="106" t="b">
        <f>IF('Newtonus.Calculator.T Head.Pipe'!$AX$23=4,Tot.Head!X91)</f>
        <v>0</v>
      </c>
      <c r="Y99" s="106" t="b">
        <f>IF('Newtonus.Calculator.T Head.Pipe'!$AX$23=4,Tot.Head!Y91)</f>
        <v>0</v>
      </c>
      <c r="Z99" s="106" t="b">
        <f>IF('Newtonus.Calculator.T Head.Pipe'!$AX$23=4,Tot.Head!Z91)</f>
        <v>0</v>
      </c>
      <c r="AA99" s="106" t="b">
        <f>IF('Newtonus.Calculator.T Head.Pipe'!$AX$23=4,Tot.Head!AA91)</f>
        <v>0</v>
      </c>
      <c r="AB99" s="106" t="b">
        <f>IF('Newtonus.Calculator.T Head.Pipe'!$AX$23=4,Tot.Head!AB91)</f>
        <v>0</v>
      </c>
      <c r="AC99" s="106" t="b">
        <f>IF('Newtonus.Calculator.T Head.Pipe'!$AX$23=4,Tot.Head!AC91)</f>
        <v>0</v>
      </c>
      <c r="AD99" s="106" t="b">
        <f>IF('Newtonus.Calculator.T Head.Pipe'!$AX$23=4,Tot.Head!AD91)</f>
        <v>0</v>
      </c>
      <c r="AE99" s="106" t="b">
        <f>IF('Newtonus.Calculator.T Head.Pipe'!$AX$23=4,Tot.Head!AE91)</f>
        <v>0</v>
      </c>
      <c r="AF99" s="106" t="b">
        <f>IF('Newtonus.Calculator.T Head.Pipe'!$AX$23=4,Tot.Head!AF91)</f>
        <v>0</v>
      </c>
      <c r="AG99" s="106" t="b">
        <f>IF('Newtonus.Calculator.T Head.Pipe'!$AX$23=4,Tot.Head!AG91)</f>
        <v>0</v>
      </c>
      <c r="AH99" s="104">
        <f t="shared" si="10"/>
        <v>0</v>
      </c>
    </row>
    <row r="100" spans="12:35" x14ac:dyDescent="0.2">
      <c r="O100" s="99">
        <v>5</v>
      </c>
      <c r="P100" s="100" t="s">
        <v>96</v>
      </c>
      <c r="Q100" s="106" t="b">
        <f>IF('Newtonus.Calculator.T Head.Pipe'!$AX$23=5,Tot.Head!Q92)</f>
        <v>0</v>
      </c>
      <c r="R100" s="106" t="b">
        <f>IF('Newtonus.Calculator.T Head.Pipe'!$AX$23=5,Tot.Head!R92)</f>
        <v>0</v>
      </c>
      <c r="S100" s="106" t="b">
        <f>IF('Newtonus.Calculator.T Head.Pipe'!$AX$23=5,Tot.Head!S92)</f>
        <v>0</v>
      </c>
      <c r="T100" s="106" t="b">
        <f>IF('Newtonus.Calculator.T Head.Pipe'!$AX$23=5,Tot.Head!T92)</f>
        <v>0</v>
      </c>
      <c r="U100" s="106" t="b">
        <f>IF('Newtonus.Calculator.T Head.Pipe'!$AX$23=5,Tot.Head!U92)</f>
        <v>0</v>
      </c>
      <c r="V100" s="106" t="b">
        <f>IF('Newtonus.Calculator.T Head.Pipe'!$AX$23=5,Tot.Head!V92)</f>
        <v>0</v>
      </c>
      <c r="W100" s="106" t="b">
        <f>IF('Newtonus.Calculator.T Head.Pipe'!$AX$23=5,Tot.Head!W92)</f>
        <v>0</v>
      </c>
      <c r="X100" s="106" t="b">
        <f>IF('Newtonus.Calculator.T Head.Pipe'!$AX$23=5,Tot.Head!X92)</f>
        <v>0</v>
      </c>
      <c r="Y100" s="106" t="b">
        <f>IF('Newtonus.Calculator.T Head.Pipe'!$AX$23=5,Tot.Head!Y92)</f>
        <v>0</v>
      </c>
      <c r="Z100" s="106" t="b">
        <f>IF('Newtonus.Calculator.T Head.Pipe'!$AX$23=5,Tot.Head!Z92)</f>
        <v>0</v>
      </c>
      <c r="AA100" s="106" t="b">
        <f>IF('Newtonus.Calculator.T Head.Pipe'!$AX$23=5,Tot.Head!AA92)</f>
        <v>0</v>
      </c>
      <c r="AB100" s="106" t="b">
        <f>IF('Newtonus.Calculator.T Head.Pipe'!$AX$23=5,Tot.Head!AB92)</f>
        <v>0</v>
      </c>
      <c r="AC100" s="106" t="b">
        <f>IF('Newtonus.Calculator.T Head.Pipe'!$AX$23=5,Tot.Head!AC92)</f>
        <v>0</v>
      </c>
      <c r="AD100" s="106" t="b">
        <f>IF('Newtonus.Calculator.T Head.Pipe'!$AX$23=5,Tot.Head!AD92)</f>
        <v>0</v>
      </c>
      <c r="AE100" s="106" t="b">
        <f>IF('Newtonus.Calculator.T Head.Pipe'!$AX$23=5,Tot.Head!AE92)</f>
        <v>0</v>
      </c>
      <c r="AF100" s="106" t="b">
        <f>IF('Newtonus.Calculator.T Head.Pipe'!$AX$23=5,Tot.Head!AF92)</f>
        <v>0</v>
      </c>
      <c r="AG100" s="106" t="b">
        <f>IF('Newtonus.Calculator.T Head.Pipe'!$AX$23=5,Tot.Head!AG92)</f>
        <v>0</v>
      </c>
      <c r="AH100" s="104">
        <f t="shared" si="10"/>
        <v>0</v>
      </c>
    </row>
    <row r="101" spans="12:35" x14ac:dyDescent="0.2">
      <c r="O101" s="99">
        <v>6</v>
      </c>
      <c r="P101" s="100" t="s">
        <v>117</v>
      </c>
      <c r="Q101" s="106" t="b">
        <f>IF('Newtonus.Calculator.T Head.Pipe'!$AX$23=6,Tot.Head!Q93)</f>
        <v>0</v>
      </c>
      <c r="R101" s="106" t="b">
        <f>IF('Newtonus.Calculator.T Head.Pipe'!$AX$23=6,Tot.Head!R93)</f>
        <v>0</v>
      </c>
      <c r="S101" s="106" t="b">
        <f>IF('Newtonus.Calculator.T Head.Pipe'!$AX$23=6,Tot.Head!S93)</f>
        <v>0</v>
      </c>
      <c r="T101" s="106" t="b">
        <f>IF('Newtonus.Calculator.T Head.Pipe'!$AX$23=6,Tot.Head!T93)</f>
        <v>0</v>
      </c>
      <c r="U101" s="106" t="b">
        <f>IF('Newtonus.Calculator.T Head.Pipe'!$AX$23=6,Tot.Head!U93)</f>
        <v>0</v>
      </c>
      <c r="V101" s="106" t="b">
        <f>IF('Newtonus.Calculator.T Head.Pipe'!$AX$23=6,Tot.Head!V93)</f>
        <v>0</v>
      </c>
      <c r="W101" s="106" t="b">
        <f>IF('Newtonus.Calculator.T Head.Pipe'!$AX$23=6,Tot.Head!W93)</f>
        <v>0</v>
      </c>
      <c r="X101" s="106" t="b">
        <f>IF('Newtonus.Calculator.T Head.Pipe'!$AX$23=6,Tot.Head!X93)</f>
        <v>0</v>
      </c>
      <c r="Y101" s="106" t="b">
        <f>IF('Newtonus.Calculator.T Head.Pipe'!$AX$23=6,Tot.Head!Y93)</f>
        <v>0</v>
      </c>
      <c r="Z101" s="106" t="b">
        <f>IF('Newtonus.Calculator.T Head.Pipe'!$AX$23=6,Tot.Head!Z93)</f>
        <v>0</v>
      </c>
      <c r="AA101" s="106" t="b">
        <f>IF('Newtonus.Calculator.T Head.Pipe'!$AX$23=6,Tot.Head!AA93)</f>
        <v>0</v>
      </c>
      <c r="AB101" s="106" t="b">
        <f>IF('Newtonus.Calculator.T Head.Pipe'!$AX$23=6,Tot.Head!AB93)</f>
        <v>0</v>
      </c>
      <c r="AC101" s="106" t="b">
        <f>IF('Newtonus.Calculator.T Head.Pipe'!$AX$23=6,Tot.Head!AC93)</f>
        <v>0</v>
      </c>
      <c r="AD101" s="106" t="b">
        <f>IF('Newtonus.Calculator.T Head.Pipe'!$AX$23=6,Tot.Head!AD93)</f>
        <v>0</v>
      </c>
      <c r="AE101" s="106" t="b">
        <f>IF('Newtonus.Calculator.T Head.Pipe'!$AX$23=6,Tot.Head!AE93)</f>
        <v>0</v>
      </c>
      <c r="AF101" s="106" t="b">
        <f>IF('Newtonus.Calculator.T Head.Pipe'!$AX$23=6,Tot.Head!AF93)</f>
        <v>0</v>
      </c>
      <c r="AG101" s="106" t="b">
        <f>IF('Newtonus.Calculator.T Head.Pipe'!$AX$23=6,Tot.Head!AG93)</f>
        <v>0</v>
      </c>
      <c r="AH101" s="104">
        <f t="shared" si="10"/>
        <v>0</v>
      </c>
    </row>
    <row r="102" spans="12:35" x14ac:dyDescent="0.2">
      <c r="O102" s="99">
        <v>7</v>
      </c>
      <c r="P102" s="100" t="s">
        <v>116</v>
      </c>
      <c r="Q102" s="106" t="b">
        <f>IF('Newtonus.Calculator.T Head.Pipe'!$AX$23=7,Tot.Head!Q94)</f>
        <v>0</v>
      </c>
      <c r="R102" s="106" t="b">
        <f>IF('Newtonus.Calculator.T Head.Pipe'!$AX$23=7,Tot.Head!R94)</f>
        <v>0</v>
      </c>
      <c r="S102" s="106" t="b">
        <f>IF('Newtonus.Calculator.T Head.Pipe'!$AX$23=7,Tot.Head!S94)</f>
        <v>0</v>
      </c>
      <c r="T102" s="106" t="b">
        <f>IF('Newtonus.Calculator.T Head.Pipe'!$AX$23=7,Tot.Head!T94)</f>
        <v>0</v>
      </c>
      <c r="U102" s="106" t="b">
        <f>IF('Newtonus.Calculator.T Head.Pipe'!$AX$23=7,Tot.Head!U94)</f>
        <v>0</v>
      </c>
      <c r="V102" s="106" t="b">
        <f>IF('Newtonus.Calculator.T Head.Pipe'!$AX$23=7,Tot.Head!V94)</f>
        <v>0</v>
      </c>
      <c r="W102" s="106" t="b">
        <f>IF('Newtonus.Calculator.T Head.Pipe'!$AX$23=7,Tot.Head!W94)</f>
        <v>0</v>
      </c>
      <c r="X102" s="106" t="b">
        <f>IF('Newtonus.Calculator.T Head.Pipe'!$AX$23=7,Tot.Head!X94)</f>
        <v>0</v>
      </c>
      <c r="Y102" s="106" t="b">
        <f>IF('Newtonus.Calculator.T Head.Pipe'!$AX$23=7,Tot.Head!Y94)</f>
        <v>0</v>
      </c>
      <c r="Z102" s="106" t="b">
        <f>IF('Newtonus.Calculator.T Head.Pipe'!$AX$23=7,Tot.Head!Z94)</f>
        <v>0</v>
      </c>
      <c r="AA102" s="106" t="b">
        <f>IF('Newtonus.Calculator.T Head.Pipe'!$AX$23=7,Tot.Head!AA94)</f>
        <v>0</v>
      </c>
      <c r="AB102" s="106" t="b">
        <f>IF('Newtonus.Calculator.T Head.Pipe'!$AX$23=7,Tot.Head!AB94)</f>
        <v>0</v>
      </c>
      <c r="AC102" s="106" t="b">
        <f>IF('Newtonus.Calculator.T Head.Pipe'!$AX$23=7,Tot.Head!AC94)</f>
        <v>0</v>
      </c>
      <c r="AD102" s="106" t="b">
        <f>IF('Newtonus.Calculator.T Head.Pipe'!$AX$23=7,Tot.Head!AD94)</f>
        <v>0</v>
      </c>
      <c r="AE102" s="106" t="b">
        <f>IF('Newtonus.Calculator.T Head.Pipe'!$AX$23=7,Tot.Head!AE94)</f>
        <v>0</v>
      </c>
      <c r="AF102" s="106" t="b">
        <f>IF('Newtonus.Calculator.T Head.Pipe'!$AX$23=7,Tot.Head!AF94)</f>
        <v>0</v>
      </c>
      <c r="AG102" s="106" t="b">
        <f>IF('Newtonus.Calculator.T Head.Pipe'!$AX$23=7,Tot.Head!AG94)</f>
        <v>0</v>
      </c>
      <c r="AH102" s="104">
        <f t="shared" si="10"/>
        <v>0</v>
      </c>
    </row>
    <row r="103" spans="12:35" x14ac:dyDescent="0.2">
      <c r="O103" s="99"/>
      <c r="P103" s="100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4">
        <f>SUM(AH96:AH102)</f>
        <v>0</v>
      </c>
      <c r="AI103" s="87" t="s">
        <v>123</v>
      </c>
    </row>
    <row r="104" spans="12:35" x14ac:dyDescent="0.2">
      <c r="Q104" s="87" t="s">
        <v>26</v>
      </c>
      <c r="R104" s="87"/>
      <c r="S104" s="87"/>
      <c r="T104" s="87"/>
      <c r="U104" s="87" t="s">
        <v>155</v>
      </c>
      <c r="V104" s="87"/>
      <c r="W104" s="87"/>
      <c r="X104" s="87"/>
      <c r="Y104" s="87"/>
      <c r="Z104" s="87" t="s">
        <v>156</v>
      </c>
      <c r="AA104" s="87"/>
      <c r="AB104" s="87"/>
      <c r="AC104" s="87"/>
      <c r="AD104" s="87" t="s">
        <v>157</v>
      </c>
      <c r="AE104" s="87"/>
      <c r="AF104" s="87"/>
      <c r="AH104" s="104"/>
    </row>
    <row r="105" spans="12:35" x14ac:dyDescent="0.2">
      <c r="Q105" s="87">
        <f>K200</f>
        <v>25</v>
      </c>
      <c r="R105" s="87" t="s">
        <v>89</v>
      </c>
      <c r="S105" s="87"/>
      <c r="T105" s="87"/>
      <c r="U105" s="87">
        <f>K201</f>
        <v>32</v>
      </c>
      <c r="V105" s="87" t="s">
        <v>89</v>
      </c>
      <c r="W105" s="87"/>
      <c r="X105" s="87"/>
      <c r="Y105" s="87"/>
      <c r="Z105" s="87">
        <f>K202</f>
        <v>32</v>
      </c>
      <c r="AA105" s="87" t="s">
        <v>89</v>
      </c>
      <c r="AB105" s="87"/>
      <c r="AC105" s="87"/>
      <c r="AD105" s="87">
        <f>K203</f>
        <v>32</v>
      </c>
      <c r="AE105" s="87" t="s">
        <v>89</v>
      </c>
      <c r="AF105" s="87"/>
      <c r="AH105" s="104"/>
    </row>
    <row r="106" spans="12:35" x14ac:dyDescent="0.2">
      <c r="L106" s="87">
        <f t="shared" ref="L106:L111" si="11">$Q$105</f>
        <v>25</v>
      </c>
      <c r="O106" s="19">
        <v>1</v>
      </c>
      <c r="P106" s="18" t="s">
        <v>40</v>
      </c>
      <c r="Q106" s="88">
        <f t="shared" ref="Q106:Q111" si="12">IF(L106=$Q$12,$Q14,IF(L106=$R$12,$R14,IF(L106=$S$12,$S14,IF(L106=$T$12,$T14,IF(L106=$U$12,$U14,IF(L106=$V$12,$V14,IF(L106=$W$12,$W14,IF(L106=$X$12,$X14))))))))</f>
        <v>7.0000000000000007E-2</v>
      </c>
      <c r="R106" s="88" t="b">
        <f t="shared" ref="R106:R111" si="13">IF(L106=$Y$12,$Y14,IF(L106=$Z$12,$Z14,IF(L106=$AA$12,$AA14,IF(L106=$AB$12,$AB14,IF(L106=$AC$12,$AC14,IF(L106=$AD$12,$AD14,IF(L106=$AE$12,$AE14,IF(L106=$AF$12,$AF14))))))))</f>
        <v>0</v>
      </c>
      <c r="S106" s="88" t="b">
        <f t="shared" ref="S106:S111" si="14">IF(L106=$AG$12,$AG14)</f>
        <v>0</v>
      </c>
      <c r="T106" s="93">
        <f t="shared" ref="T106:T111" si="15">$U$105</f>
        <v>32</v>
      </c>
      <c r="U106" s="88">
        <f t="shared" ref="U106:U111" si="16">IF(T106=$Q$12,$Q14,IF(T106=$R$12,$R14,IF(T106=$S$12,$S14,IF(T106=$T$12,$T14,IF(T106=$U$12,$U14,IF(T106=$V$12,$V14,IF(T106=$W$12,$W14,IF(T106=$X$12,$X14))))))))</f>
        <v>7.0000000000000007E-2</v>
      </c>
      <c r="V106" s="88" t="b">
        <f t="shared" ref="V106:V111" si="17">IF(T106=$Y$12,$Y14,IF(T106=$Z$12,$Z14,IF(T106=$AA$12,$AA14,IF(T106=$AB$12,$AB14,IF(T106=$AC$12,$AC14,IF(T106=$AD$12,$AD14,IF(T106=$AE$12,$AE14,IF(T106=$AF$12,$AF14))))))))</f>
        <v>0</v>
      </c>
      <c r="W106" s="88" t="b">
        <f t="shared" ref="W106:W111" si="18">IF(T106=$AG$12,$AG14)</f>
        <v>0</v>
      </c>
      <c r="X106" s="87">
        <f t="shared" ref="X106:X111" si="19">$Z$105</f>
        <v>32</v>
      </c>
      <c r="Y106" s="93" t="e">
        <f>Q106:S106</f>
        <v>#VALUE!</v>
      </c>
      <c r="Z106" s="88">
        <f t="shared" ref="Z106:Z111" si="20">IF(X106=$Q$12,$Q14,IF(X106=$R$12,$R14,IF(X106=$S$12,$S14,IF(X106=$T$12,$T14,IF(X106=$U$12,$U14,IF(X106=$V$12,$V14,IF(X106=$W$12,$W14,IF(X106=$X$12,$X14))))))))</f>
        <v>7.0000000000000007E-2</v>
      </c>
      <c r="AA106" s="88" t="b">
        <f t="shared" ref="AA106:AA111" si="21">IF(X106=$Y$12,$Y14,IF(X106=$Z$12,$Z14,IF(X106=$AA$12,$AA14,IF(X106=$AB$12,$AB14,IF(X106=$AC$12,$AC14,IF(X106=$AD$12,$AD14,IF(X106=$AE$12,$AE14,IF(X106=$AF$12,$AF14))))))))</f>
        <v>0</v>
      </c>
      <c r="AB106" s="88" t="b">
        <f t="shared" ref="AB106:AB111" si="22">IF(X106=$AG$12,$AG14)</f>
        <v>0</v>
      </c>
      <c r="AC106" s="87">
        <f t="shared" ref="AC106:AC111" si="23">$AD$105</f>
        <v>32</v>
      </c>
      <c r="AD106" s="88">
        <f t="shared" ref="AD106:AD111" si="24">IF(AC106=$Q$12,$Q14,IF(AC106=$R$12,$R14,IF(AC106=$S$12,$S14,IF(AC106=$T$12,$T14,IF(AC106=$U$12,$U14,IF(AC106=$V$12,$V14,IF(AC106=$W$12,$W14,IF(AC106=$X$12,$X14))))))))</f>
        <v>7.0000000000000007E-2</v>
      </c>
      <c r="AE106" s="88" t="b">
        <f t="shared" ref="AE106:AE111" si="25">IF(AC106=$Y$12,$Y14,IF(AC106=$Z$12,$Z14,IF(AC106=$AA$12,$AA14,IF(AC106=$AB$12,$AB14,IF(AC106=$AC$12,$AC14,IF(AC106=$AD$12,$AD14,IF(AC106=$AE$12,$AE14,IF(AC106=$AF$12,$AF14))))))))</f>
        <v>0</v>
      </c>
      <c r="AF106" s="88" t="b">
        <f t="shared" ref="AF106:AF111" si="26">IF(AC106=$AG$12,$AG14)</f>
        <v>0</v>
      </c>
      <c r="AH106" s="104">
        <f>SUM(AH63:AH69)</f>
        <v>36</v>
      </c>
      <c r="AI106" s="87" t="s">
        <v>99</v>
      </c>
    </row>
    <row r="107" spans="12:35" x14ac:dyDescent="0.2">
      <c r="L107" s="87">
        <f t="shared" si="11"/>
        <v>25</v>
      </c>
      <c r="O107" s="19">
        <v>2</v>
      </c>
      <c r="P107" s="18" t="s">
        <v>43</v>
      </c>
      <c r="Q107" s="88">
        <f t="shared" si="12"/>
        <v>0.86</v>
      </c>
      <c r="R107" s="88" t="b">
        <f t="shared" si="13"/>
        <v>0</v>
      </c>
      <c r="S107" s="88" t="b">
        <f t="shared" si="14"/>
        <v>0</v>
      </c>
      <c r="T107" s="93">
        <f t="shared" si="15"/>
        <v>32</v>
      </c>
      <c r="U107" s="88">
        <f t="shared" si="16"/>
        <v>0.86</v>
      </c>
      <c r="V107" s="88" t="b">
        <f t="shared" si="17"/>
        <v>0</v>
      </c>
      <c r="W107" s="88" t="b">
        <f t="shared" si="18"/>
        <v>0</v>
      </c>
      <c r="X107" s="87">
        <f t="shared" si="19"/>
        <v>32</v>
      </c>
      <c r="Z107" s="88">
        <f t="shared" si="20"/>
        <v>0.86</v>
      </c>
      <c r="AA107" s="88" t="b">
        <f t="shared" si="21"/>
        <v>0</v>
      </c>
      <c r="AB107" s="88" t="b">
        <f t="shared" si="22"/>
        <v>0</v>
      </c>
      <c r="AC107" s="87">
        <f t="shared" si="23"/>
        <v>32</v>
      </c>
      <c r="AD107" s="88">
        <f t="shared" si="24"/>
        <v>0.86</v>
      </c>
      <c r="AE107" s="88" t="b">
        <f t="shared" si="25"/>
        <v>0</v>
      </c>
      <c r="AF107" s="88" t="b">
        <f t="shared" si="26"/>
        <v>0</v>
      </c>
    </row>
    <row r="108" spans="12:35" x14ac:dyDescent="0.2">
      <c r="L108" s="87">
        <f t="shared" si="11"/>
        <v>25</v>
      </c>
      <c r="O108" s="19">
        <v>3</v>
      </c>
      <c r="P108" s="18" t="s">
        <v>44</v>
      </c>
      <c r="Q108" s="88">
        <f t="shared" si="12"/>
        <v>1.1499999999999999</v>
      </c>
      <c r="R108" s="88" t="b">
        <f t="shared" si="13"/>
        <v>0</v>
      </c>
      <c r="S108" s="88" t="b">
        <f t="shared" si="14"/>
        <v>0</v>
      </c>
      <c r="T108" s="93">
        <f t="shared" si="15"/>
        <v>32</v>
      </c>
      <c r="U108" s="88">
        <f t="shared" si="16"/>
        <v>1.1000000000000001</v>
      </c>
      <c r="V108" s="88" t="b">
        <f t="shared" si="17"/>
        <v>0</v>
      </c>
      <c r="W108" s="88" t="b">
        <f t="shared" si="18"/>
        <v>0</v>
      </c>
      <c r="X108" s="87">
        <f t="shared" si="19"/>
        <v>32</v>
      </c>
      <c r="Z108" s="88">
        <f t="shared" si="20"/>
        <v>1.1000000000000001</v>
      </c>
      <c r="AA108" s="88" t="b">
        <f t="shared" si="21"/>
        <v>0</v>
      </c>
      <c r="AB108" s="88" t="b">
        <f t="shared" si="22"/>
        <v>0</v>
      </c>
      <c r="AC108" s="87">
        <f t="shared" si="23"/>
        <v>32</v>
      </c>
      <c r="AD108" s="88">
        <f t="shared" si="24"/>
        <v>1.1000000000000001</v>
      </c>
      <c r="AE108" s="88" t="b">
        <f t="shared" si="25"/>
        <v>0</v>
      </c>
      <c r="AF108" s="88" t="b">
        <f t="shared" si="26"/>
        <v>0</v>
      </c>
    </row>
    <row r="109" spans="12:35" x14ac:dyDescent="0.2">
      <c r="L109" s="87">
        <f t="shared" si="11"/>
        <v>25</v>
      </c>
      <c r="O109" s="19">
        <v>4</v>
      </c>
      <c r="P109" s="18" t="s">
        <v>41</v>
      </c>
      <c r="Q109" s="88">
        <f t="shared" si="12"/>
        <v>0.69</v>
      </c>
      <c r="R109" s="88" t="b">
        <f t="shared" si="13"/>
        <v>0</v>
      </c>
      <c r="S109" s="88" t="b">
        <f t="shared" si="14"/>
        <v>0</v>
      </c>
      <c r="T109" s="93">
        <f t="shared" si="15"/>
        <v>32</v>
      </c>
      <c r="U109" s="88">
        <f t="shared" si="16"/>
        <v>0.66</v>
      </c>
      <c r="V109" s="88" t="b">
        <f t="shared" si="17"/>
        <v>0</v>
      </c>
      <c r="W109" s="88" t="b">
        <f t="shared" si="18"/>
        <v>0</v>
      </c>
      <c r="X109" s="87">
        <f t="shared" si="19"/>
        <v>32</v>
      </c>
      <c r="Z109" s="88">
        <f t="shared" si="20"/>
        <v>0.66</v>
      </c>
      <c r="AA109" s="88" t="b">
        <f t="shared" si="21"/>
        <v>0</v>
      </c>
      <c r="AB109" s="88" t="b">
        <f t="shared" si="22"/>
        <v>0</v>
      </c>
      <c r="AC109" s="87">
        <f t="shared" si="23"/>
        <v>32</v>
      </c>
      <c r="AD109" s="88">
        <f t="shared" si="24"/>
        <v>0.66</v>
      </c>
      <c r="AE109" s="88" t="b">
        <f t="shared" si="25"/>
        <v>0</v>
      </c>
      <c r="AF109" s="88" t="b">
        <f t="shared" si="26"/>
        <v>0</v>
      </c>
    </row>
    <row r="110" spans="12:35" x14ac:dyDescent="0.2">
      <c r="L110" s="87">
        <f t="shared" si="11"/>
        <v>25</v>
      </c>
      <c r="O110" s="19">
        <v>5</v>
      </c>
      <c r="P110" s="18" t="s">
        <v>3</v>
      </c>
      <c r="Q110" s="88">
        <f t="shared" si="12"/>
        <v>1.38</v>
      </c>
      <c r="R110" s="88" t="b">
        <f t="shared" si="13"/>
        <v>0</v>
      </c>
      <c r="S110" s="88" t="b">
        <f t="shared" si="14"/>
        <v>0</v>
      </c>
      <c r="T110" s="93">
        <f t="shared" si="15"/>
        <v>32</v>
      </c>
      <c r="U110" s="88">
        <f t="shared" si="16"/>
        <v>1.32</v>
      </c>
      <c r="V110" s="88" t="b">
        <f t="shared" si="17"/>
        <v>0</v>
      </c>
      <c r="W110" s="88" t="b">
        <f t="shared" si="18"/>
        <v>0</v>
      </c>
      <c r="X110" s="87">
        <f t="shared" si="19"/>
        <v>32</v>
      </c>
      <c r="Z110" s="88">
        <f t="shared" si="20"/>
        <v>1.32</v>
      </c>
      <c r="AA110" s="88" t="b">
        <f t="shared" si="21"/>
        <v>0</v>
      </c>
      <c r="AB110" s="88" t="b">
        <f t="shared" si="22"/>
        <v>0</v>
      </c>
      <c r="AC110" s="87">
        <f t="shared" si="23"/>
        <v>32</v>
      </c>
      <c r="AD110" s="88">
        <f t="shared" si="24"/>
        <v>1.32</v>
      </c>
      <c r="AE110" s="88" t="b">
        <f t="shared" si="25"/>
        <v>0</v>
      </c>
      <c r="AF110" s="88" t="b">
        <f t="shared" si="26"/>
        <v>0</v>
      </c>
    </row>
    <row r="111" spans="12:35" x14ac:dyDescent="0.2">
      <c r="L111" s="87">
        <f t="shared" si="11"/>
        <v>25</v>
      </c>
      <c r="O111" s="19">
        <v>6</v>
      </c>
      <c r="P111" s="18" t="s">
        <v>42</v>
      </c>
      <c r="Q111" s="88">
        <f t="shared" si="12"/>
        <v>9.66</v>
      </c>
      <c r="R111" s="88" t="b">
        <f t="shared" si="13"/>
        <v>0</v>
      </c>
      <c r="S111" s="88" t="b">
        <f t="shared" si="14"/>
        <v>0</v>
      </c>
      <c r="T111" s="93">
        <f t="shared" si="15"/>
        <v>32</v>
      </c>
      <c r="U111" s="88">
        <f t="shared" si="16"/>
        <v>9.24</v>
      </c>
      <c r="V111" s="88" t="b">
        <f t="shared" si="17"/>
        <v>0</v>
      </c>
      <c r="W111" s="88" t="b">
        <f t="shared" si="18"/>
        <v>0</v>
      </c>
      <c r="X111" s="87">
        <f t="shared" si="19"/>
        <v>32</v>
      </c>
      <c r="Z111" s="88">
        <f t="shared" si="20"/>
        <v>9.24</v>
      </c>
      <c r="AA111" s="88" t="b">
        <f t="shared" si="21"/>
        <v>0</v>
      </c>
      <c r="AB111" s="88" t="b">
        <f t="shared" si="22"/>
        <v>0</v>
      </c>
      <c r="AC111" s="87">
        <f t="shared" si="23"/>
        <v>32</v>
      </c>
      <c r="AD111" s="88">
        <f t="shared" si="24"/>
        <v>9.24</v>
      </c>
      <c r="AE111" s="88" t="b">
        <f t="shared" si="25"/>
        <v>0</v>
      </c>
      <c r="AF111" s="88" t="b">
        <f t="shared" si="26"/>
        <v>0</v>
      </c>
    </row>
    <row r="112" spans="12:35" x14ac:dyDescent="0.2">
      <c r="O112" s="132" t="s">
        <v>113</v>
      </c>
      <c r="P112" s="133"/>
      <c r="Q112" s="134">
        <v>15</v>
      </c>
      <c r="R112" s="134">
        <v>20</v>
      </c>
      <c r="S112" s="134">
        <v>25</v>
      </c>
      <c r="T112" s="134">
        <v>32</v>
      </c>
      <c r="U112" s="134">
        <v>40</v>
      </c>
      <c r="V112" s="134">
        <v>50</v>
      </c>
      <c r="W112" s="134">
        <v>65</v>
      </c>
      <c r="X112" s="134">
        <v>80</v>
      </c>
      <c r="Y112" s="134">
        <v>100</v>
      </c>
      <c r="Z112" s="134">
        <v>125</v>
      </c>
      <c r="AA112" s="134">
        <v>150</v>
      </c>
      <c r="AB112" s="134">
        <v>200</v>
      </c>
      <c r="AC112" s="134">
        <v>250</v>
      </c>
      <c r="AD112" s="134">
        <v>300</v>
      </c>
      <c r="AE112" s="134">
        <v>400</v>
      </c>
      <c r="AF112" s="134">
        <v>450</v>
      </c>
      <c r="AG112" s="134">
        <v>600</v>
      </c>
    </row>
    <row r="113" spans="12:35" x14ac:dyDescent="0.2">
      <c r="O113" s="99">
        <v>1</v>
      </c>
      <c r="P113" s="100" t="s">
        <v>94</v>
      </c>
      <c r="Q113" s="104">
        <v>139</v>
      </c>
      <c r="R113" s="104">
        <v>140</v>
      </c>
      <c r="S113" s="104">
        <v>141</v>
      </c>
      <c r="T113" s="104">
        <v>142</v>
      </c>
      <c r="U113" s="104">
        <v>143</v>
      </c>
      <c r="V113" s="104">
        <v>144</v>
      </c>
      <c r="W113" s="104">
        <v>144</v>
      </c>
      <c r="X113" s="104">
        <v>145</v>
      </c>
      <c r="Y113" s="104">
        <v>146</v>
      </c>
      <c r="Z113" s="104">
        <v>146</v>
      </c>
      <c r="AA113" s="104">
        <v>146</v>
      </c>
      <c r="AB113" s="104">
        <v>146</v>
      </c>
      <c r="AC113" s="107">
        <v>146</v>
      </c>
      <c r="AD113" s="107">
        <v>146</v>
      </c>
      <c r="AE113" s="107">
        <v>146</v>
      </c>
      <c r="AF113" s="107">
        <v>146</v>
      </c>
      <c r="AG113" s="107">
        <v>146</v>
      </c>
      <c r="AH113" s="87">
        <v>139</v>
      </c>
      <c r="AI113" s="87">
        <v>146</v>
      </c>
    </row>
    <row r="114" spans="12:35" x14ac:dyDescent="0.2">
      <c r="O114" s="99">
        <v>2</v>
      </c>
      <c r="P114" s="100" t="s">
        <v>103</v>
      </c>
      <c r="Q114" s="104">
        <v>125</v>
      </c>
      <c r="R114" s="104">
        <v>128</v>
      </c>
      <c r="S114" s="104">
        <v>130</v>
      </c>
      <c r="T114" s="104">
        <v>133</v>
      </c>
      <c r="U114" s="104">
        <v>134</v>
      </c>
      <c r="V114" s="104">
        <v>135</v>
      </c>
      <c r="W114" s="104">
        <v>136</v>
      </c>
      <c r="X114" s="104">
        <v>138</v>
      </c>
      <c r="Y114" s="104">
        <v>140</v>
      </c>
      <c r="Z114" s="104">
        <v>140</v>
      </c>
      <c r="AA114" s="104">
        <v>140</v>
      </c>
      <c r="AB114" s="104">
        <v>141</v>
      </c>
      <c r="AC114" s="104">
        <v>141</v>
      </c>
      <c r="AD114" s="104">
        <v>142</v>
      </c>
      <c r="AE114" s="107">
        <v>142</v>
      </c>
      <c r="AF114" s="107">
        <v>142</v>
      </c>
      <c r="AG114" s="107">
        <v>142</v>
      </c>
      <c r="AH114" s="87">
        <v>125</v>
      </c>
      <c r="AI114" s="87">
        <v>142</v>
      </c>
    </row>
    <row r="115" spans="12:35" x14ac:dyDescent="0.2">
      <c r="O115" s="99">
        <v>3</v>
      </c>
      <c r="P115" s="100" t="s">
        <v>102</v>
      </c>
      <c r="Q115" s="102">
        <v>111</v>
      </c>
      <c r="R115" s="102">
        <v>114</v>
      </c>
      <c r="S115" s="102">
        <v>116</v>
      </c>
      <c r="T115" s="102">
        <v>119</v>
      </c>
      <c r="U115" s="102">
        <v>120</v>
      </c>
      <c r="V115" s="102">
        <v>122</v>
      </c>
      <c r="W115" s="102">
        <v>125</v>
      </c>
      <c r="X115" s="102">
        <v>126</v>
      </c>
      <c r="Y115" s="102">
        <v>127</v>
      </c>
      <c r="Z115" s="102">
        <v>129</v>
      </c>
      <c r="AA115" s="102">
        <v>129</v>
      </c>
      <c r="AB115" s="107">
        <v>129</v>
      </c>
      <c r="AC115" s="107">
        <v>129</v>
      </c>
      <c r="AD115" s="107">
        <v>129</v>
      </c>
      <c r="AE115" s="107">
        <v>129</v>
      </c>
      <c r="AF115" s="107">
        <v>129</v>
      </c>
      <c r="AG115" s="107">
        <v>129</v>
      </c>
      <c r="AH115" s="87">
        <v>111</v>
      </c>
      <c r="AI115" s="87">
        <v>129</v>
      </c>
    </row>
    <row r="116" spans="12:35" x14ac:dyDescent="0.2">
      <c r="O116" s="99">
        <v>4</v>
      </c>
      <c r="P116" s="87" t="s">
        <v>95</v>
      </c>
      <c r="Q116" s="104">
        <v>139</v>
      </c>
      <c r="R116" s="104">
        <v>140</v>
      </c>
      <c r="S116" s="104">
        <v>141</v>
      </c>
      <c r="T116" s="104">
        <v>142</v>
      </c>
      <c r="U116" s="104">
        <v>143</v>
      </c>
      <c r="V116" s="104">
        <v>144</v>
      </c>
      <c r="W116" s="104">
        <v>144</v>
      </c>
      <c r="X116" s="104">
        <v>145</v>
      </c>
      <c r="Y116" s="104">
        <v>146</v>
      </c>
      <c r="Z116" s="104">
        <v>146</v>
      </c>
      <c r="AA116" s="104">
        <v>146</v>
      </c>
      <c r="AB116" s="104">
        <v>146</v>
      </c>
      <c r="AC116" s="107">
        <v>146</v>
      </c>
      <c r="AD116" s="107">
        <v>146</v>
      </c>
      <c r="AE116" s="107">
        <v>146</v>
      </c>
      <c r="AF116" s="107">
        <v>146</v>
      </c>
      <c r="AG116" s="107">
        <v>146</v>
      </c>
      <c r="AH116" s="87">
        <v>139</v>
      </c>
      <c r="AI116" s="87">
        <v>146</v>
      </c>
    </row>
    <row r="117" spans="12:35" x14ac:dyDescent="0.2">
      <c r="O117" s="99">
        <v>5</v>
      </c>
      <c r="P117" s="100" t="s">
        <v>96</v>
      </c>
      <c r="Q117" s="107">
        <v>118</v>
      </c>
      <c r="R117" s="107">
        <v>118</v>
      </c>
      <c r="S117" s="107">
        <v>118</v>
      </c>
      <c r="T117" s="107">
        <v>118</v>
      </c>
      <c r="U117" s="107">
        <v>118</v>
      </c>
      <c r="V117" s="107">
        <v>118</v>
      </c>
      <c r="W117" s="107">
        <v>118</v>
      </c>
      <c r="X117" s="102">
        <v>118</v>
      </c>
      <c r="Y117" s="102">
        <v>120</v>
      </c>
      <c r="Z117" s="107">
        <v>120</v>
      </c>
      <c r="AA117" s="102">
        <v>122</v>
      </c>
      <c r="AB117" s="102">
        <v>124</v>
      </c>
      <c r="AC117" s="102">
        <v>125</v>
      </c>
      <c r="AD117" s="102">
        <v>126</v>
      </c>
      <c r="AE117" s="107">
        <v>126</v>
      </c>
      <c r="AF117" s="107">
        <v>126</v>
      </c>
      <c r="AG117" s="107">
        <v>126</v>
      </c>
      <c r="AH117" s="87">
        <v>118</v>
      </c>
      <c r="AI117" s="87">
        <v>126</v>
      </c>
    </row>
    <row r="118" spans="12:35" x14ac:dyDescent="0.2">
      <c r="O118" s="99">
        <v>6</v>
      </c>
      <c r="P118" s="100" t="s">
        <v>117</v>
      </c>
      <c r="Q118" s="107">
        <v>140</v>
      </c>
      <c r="R118" s="107">
        <v>140</v>
      </c>
      <c r="S118" s="107">
        <v>140</v>
      </c>
      <c r="T118" s="107">
        <v>140</v>
      </c>
      <c r="U118" s="107">
        <v>140</v>
      </c>
      <c r="V118" s="107">
        <v>140</v>
      </c>
      <c r="W118" s="107">
        <v>140</v>
      </c>
      <c r="X118" s="102">
        <v>140</v>
      </c>
      <c r="Y118" s="102">
        <v>140</v>
      </c>
      <c r="Z118" s="107">
        <v>140</v>
      </c>
      <c r="AA118" s="102">
        <v>140</v>
      </c>
      <c r="AB118" s="102">
        <v>140</v>
      </c>
      <c r="AC118" s="102">
        <v>140</v>
      </c>
      <c r="AD118" s="102">
        <v>140</v>
      </c>
      <c r="AE118" s="107">
        <v>140</v>
      </c>
      <c r="AF118" s="107">
        <v>140</v>
      </c>
      <c r="AG118" s="107">
        <v>140</v>
      </c>
      <c r="AH118" s="87">
        <v>140</v>
      </c>
      <c r="AI118" s="87">
        <v>146</v>
      </c>
    </row>
    <row r="119" spans="12:35" x14ac:dyDescent="0.2">
      <c r="O119" s="99">
        <v>7</v>
      </c>
      <c r="P119" s="100" t="s">
        <v>116</v>
      </c>
      <c r="Q119" s="102">
        <v>140</v>
      </c>
      <c r="R119" s="102">
        <v>141</v>
      </c>
      <c r="S119" s="102">
        <v>142</v>
      </c>
      <c r="T119" s="102">
        <v>145</v>
      </c>
      <c r="U119" s="102">
        <v>145</v>
      </c>
      <c r="V119" s="102">
        <v>145</v>
      </c>
      <c r="W119" s="107">
        <v>145</v>
      </c>
      <c r="X119" s="102">
        <v>149</v>
      </c>
      <c r="Y119" s="102">
        <v>149</v>
      </c>
      <c r="Z119" s="107">
        <v>149</v>
      </c>
      <c r="AA119" s="102">
        <v>151</v>
      </c>
      <c r="AB119" s="107">
        <v>151</v>
      </c>
      <c r="AC119" s="107">
        <v>151</v>
      </c>
      <c r="AD119" s="107">
        <v>151</v>
      </c>
      <c r="AE119" s="107">
        <v>151</v>
      </c>
      <c r="AF119" s="107">
        <v>151</v>
      </c>
      <c r="AG119" s="107">
        <v>151</v>
      </c>
      <c r="AH119" s="87">
        <v>140</v>
      </c>
      <c r="AI119" s="87">
        <v>151</v>
      </c>
    </row>
    <row r="121" spans="12:35" x14ac:dyDescent="0.2">
      <c r="O121" s="132" t="s">
        <v>26</v>
      </c>
      <c r="P121" s="131"/>
    </row>
    <row r="122" spans="12:35" x14ac:dyDescent="0.2">
      <c r="L122" s="87">
        <f>$L$200</f>
        <v>3</v>
      </c>
      <c r="O122" s="99">
        <v>1</v>
      </c>
      <c r="P122" s="100" t="s">
        <v>94</v>
      </c>
      <c r="Q122" s="106" t="b">
        <f>IF(L122=1,Tot.Head!Q113)</f>
        <v>0</v>
      </c>
      <c r="R122" s="106" t="b">
        <f>IF(L122=2,Tot.Head!R113)</f>
        <v>0</v>
      </c>
      <c r="S122" s="106">
        <f>IF(L122=3,Tot.Head!S113)</f>
        <v>141</v>
      </c>
      <c r="T122" s="106" t="b">
        <f>IF(L122=4,Tot.Head!T113)</f>
        <v>0</v>
      </c>
      <c r="U122" s="106" t="b">
        <f>IF(L122=5,Tot.Head!U113)</f>
        <v>0</v>
      </c>
      <c r="V122" s="106" t="b">
        <f>IF(L122=6,Tot.Head!V113)</f>
        <v>0</v>
      </c>
      <c r="W122" s="106" t="b">
        <f>IF(L122=7,Tot.Head!W113)</f>
        <v>0</v>
      </c>
      <c r="X122" s="106" t="b">
        <f>IF(L122=8,Tot.Head!X113)</f>
        <v>0</v>
      </c>
      <c r="Y122" s="106" t="b">
        <f>IF(L122=9,Tot.Head!Y113)</f>
        <v>0</v>
      </c>
      <c r="Z122" s="106" t="b">
        <f>IF(L122=10,Tot.Head!Z113)</f>
        <v>0</v>
      </c>
      <c r="AA122" s="106" t="b">
        <f>IF(L122=11,Tot.Head!AA113)</f>
        <v>0</v>
      </c>
      <c r="AB122" s="106" t="b">
        <f>IF(L122=12,Tot.Head!AB113)</f>
        <v>0</v>
      </c>
      <c r="AC122" s="106" t="b">
        <f>IF(L122=13,Tot.Head!AC113)</f>
        <v>0</v>
      </c>
      <c r="AD122" s="106" t="b">
        <f>IF(L122=14,Tot.Head!AD113)</f>
        <v>0</v>
      </c>
      <c r="AE122" s="106" t="b">
        <f>IF(L122=15,Tot.Head!AE113)</f>
        <v>0</v>
      </c>
      <c r="AF122" s="106" t="b">
        <f>IF(L122=16,Tot.Head!AF113)</f>
        <v>0</v>
      </c>
      <c r="AG122" s="106" t="b">
        <f>IF(L122=17,Tot.Head!AG113)</f>
        <v>0</v>
      </c>
    </row>
    <row r="123" spans="12:35" x14ac:dyDescent="0.2">
      <c r="L123" s="87">
        <f t="shared" ref="L123:L128" si="27">$L$200</f>
        <v>3</v>
      </c>
      <c r="O123" s="99">
        <v>2</v>
      </c>
      <c r="P123" s="100" t="s">
        <v>103</v>
      </c>
      <c r="Q123" s="106" t="b">
        <f>IF(L123=1,Tot.Head!Q114)</f>
        <v>0</v>
      </c>
      <c r="R123" s="106" t="b">
        <f>IF(L123=2,Tot.Head!R114)</f>
        <v>0</v>
      </c>
      <c r="S123" s="106">
        <f>IF(L123=3,Tot.Head!S114)</f>
        <v>130</v>
      </c>
      <c r="T123" s="106" t="b">
        <f>IF(L123=4,Tot.Head!T114)</f>
        <v>0</v>
      </c>
      <c r="U123" s="106" t="b">
        <f>IF(L123=5,Tot.Head!U114)</f>
        <v>0</v>
      </c>
      <c r="V123" s="106" t="b">
        <f>IF(L123=6,Tot.Head!V114)</f>
        <v>0</v>
      </c>
      <c r="W123" s="106" t="b">
        <f>IF(L123=7,Tot.Head!W114)</f>
        <v>0</v>
      </c>
      <c r="X123" s="106" t="b">
        <f>IF(L123=8,Tot.Head!X114)</f>
        <v>0</v>
      </c>
      <c r="Y123" s="106" t="b">
        <f>IF(L123=9,Tot.Head!Y114)</f>
        <v>0</v>
      </c>
      <c r="Z123" s="106" t="b">
        <f>IF(L123=10,Tot.Head!Z114)</f>
        <v>0</v>
      </c>
      <c r="AA123" s="106" t="b">
        <f>IF(L123=11,Tot.Head!AA114)</f>
        <v>0</v>
      </c>
      <c r="AB123" s="106" t="b">
        <f>IF(L123=12,Tot.Head!AB114)</f>
        <v>0</v>
      </c>
      <c r="AC123" s="106" t="b">
        <f>IF(L123=13,Tot.Head!AC114)</f>
        <v>0</v>
      </c>
      <c r="AD123" s="106" t="b">
        <f>IF(L123=14,Tot.Head!AD114)</f>
        <v>0</v>
      </c>
      <c r="AE123" s="106" t="b">
        <f>IF(L123=15,Tot.Head!AE114)</f>
        <v>0</v>
      </c>
      <c r="AF123" s="106" t="b">
        <f>IF(L123=16,Tot.Head!AF114)</f>
        <v>0</v>
      </c>
      <c r="AG123" s="106" t="b">
        <f>IF(L123=17,Tot.Head!AG114)</f>
        <v>0</v>
      </c>
    </row>
    <row r="124" spans="12:35" x14ac:dyDescent="0.2">
      <c r="L124" s="87">
        <f t="shared" si="27"/>
        <v>3</v>
      </c>
      <c r="O124" s="99">
        <v>3</v>
      </c>
      <c r="P124" s="100" t="s">
        <v>102</v>
      </c>
      <c r="Q124" s="106" t="b">
        <f>IF(L124=1,Tot.Head!Q115)</f>
        <v>0</v>
      </c>
      <c r="R124" s="106" t="b">
        <f>IF(L124=2,Tot.Head!R115)</f>
        <v>0</v>
      </c>
      <c r="S124" s="106">
        <f>IF(L124=3,Tot.Head!S115)</f>
        <v>116</v>
      </c>
      <c r="T124" s="106" t="b">
        <f>IF(L124=4,Tot.Head!T115)</f>
        <v>0</v>
      </c>
      <c r="U124" s="106" t="b">
        <f>IF(L124=5,Tot.Head!U115)</f>
        <v>0</v>
      </c>
      <c r="V124" s="106" t="b">
        <f>IF(L124=6,Tot.Head!V115)</f>
        <v>0</v>
      </c>
      <c r="W124" s="106" t="b">
        <f>IF(L124=7,Tot.Head!W115)</f>
        <v>0</v>
      </c>
      <c r="X124" s="106" t="b">
        <f>IF(L124=8,Tot.Head!X115)</f>
        <v>0</v>
      </c>
      <c r="Y124" s="106" t="b">
        <f>IF(L124=9,Tot.Head!Y115)</f>
        <v>0</v>
      </c>
      <c r="Z124" s="106" t="b">
        <f>IF(L124=10,Tot.Head!Z115)</f>
        <v>0</v>
      </c>
      <c r="AA124" s="106" t="b">
        <f>IF(L124=11,Tot.Head!AA115)</f>
        <v>0</v>
      </c>
      <c r="AB124" s="106" t="b">
        <f>IF(L124=12,Tot.Head!AB115)</f>
        <v>0</v>
      </c>
      <c r="AC124" s="106" t="b">
        <f>IF(L124=13,Tot.Head!AC115)</f>
        <v>0</v>
      </c>
      <c r="AD124" s="106" t="b">
        <f>IF(L124=14,Tot.Head!AD115)</f>
        <v>0</v>
      </c>
      <c r="AE124" s="106" t="b">
        <f>IF(L124=15,Tot.Head!AE115)</f>
        <v>0</v>
      </c>
      <c r="AF124" s="106" t="b">
        <f>IF(L124=16,Tot.Head!AF115)</f>
        <v>0</v>
      </c>
      <c r="AG124" s="106" t="b">
        <f>IF(L124=17,Tot.Head!AG115)</f>
        <v>0</v>
      </c>
    </row>
    <row r="125" spans="12:35" x14ac:dyDescent="0.2">
      <c r="L125" s="87">
        <f t="shared" si="27"/>
        <v>3</v>
      </c>
      <c r="O125" s="99">
        <v>4</v>
      </c>
      <c r="P125" s="87" t="s">
        <v>95</v>
      </c>
      <c r="Q125" s="106" t="b">
        <f>IF(L125=1,Tot.Head!Q116)</f>
        <v>0</v>
      </c>
      <c r="R125" s="106" t="b">
        <f>IF(L125=2,Tot.Head!R116)</f>
        <v>0</v>
      </c>
      <c r="S125" s="106">
        <f>IF(L125=3,Tot.Head!S116)</f>
        <v>141</v>
      </c>
      <c r="T125" s="106" t="b">
        <f>IF(L125=4,Tot.Head!T116)</f>
        <v>0</v>
      </c>
      <c r="U125" s="106" t="b">
        <f>IF(L125=5,Tot.Head!U116)</f>
        <v>0</v>
      </c>
      <c r="V125" s="106" t="b">
        <f>IF(L125=6,Tot.Head!V116)</f>
        <v>0</v>
      </c>
      <c r="W125" s="106" t="b">
        <f>IF(L125=7,Tot.Head!W116)</f>
        <v>0</v>
      </c>
      <c r="X125" s="106" t="b">
        <f>IF(L125=8,Tot.Head!X116)</f>
        <v>0</v>
      </c>
      <c r="Y125" s="106" t="b">
        <f>IF(L125=9,Tot.Head!Y116)</f>
        <v>0</v>
      </c>
      <c r="Z125" s="106" t="b">
        <f>IF(L125=10,Tot.Head!Z116)</f>
        <v>0</v>
      </c>
      <c r="AA125" s="106" t="b">
        <f>IF(L125=11,Tot.Head!AA116)</f>
        <v>0</v>
      </c>
      <c r="AB125" s="106" t="b">
        <f>IF(L125=12,Tot.Head!AB116)</f>
        <v>0</v>
      </c>
      <c r="AC125" s="106" t="b">
        <f>IF(L125=13,Tot.Head!AC116)</f>
        <v>0</v>
      </c>
      <c r="AD125" s="106" t="b">
        <f>IF(L125=14,Tot.Head!AD116)</f>
        <v>0</v>
      </c>
      <c r="AE125" s="106" t="b">
        <f>IF(L125=15,Tot.Head!AE116)</f>
        <v>0</v>
      </c>
      <c r="AF125" s="106" t="b">
        <f>IF(L125=16,Tot.Head!AF116)</f>
        <v>0</v>
      </c>
      <c r="AG125" s="106" t="b">
        <f>IF(L125=17,Tot.Head!AG116)</f>
        <v>0</v>
      </c>
    </row>
    <row r="126" spans="12:35" x14ac:dyDescent="0.2">
      <c r="L126" s="87">
        <f t="shared" si="27"/>
        <v>3</v>
      </c>
      <c r="O126" s="99">
        <v>5</v>
      </c>
      <c r="P126" s="100" t="s">
        <v>96</v>
      </c>
      <c r="Q126" s="106" t="b">
        <f>IF(L126=1,Tot.Head!Q117)</f>
        <v>0</v>
      </c>
      <c r="R126" s="106" t="b">
        <f>IF(L126=2,Tot.Head!R117)</f>
        <v>0</v>
      </c>
      <c r="S126" s="106">
        <f>IF(L126=3,Tot.Head!S117)</f>
        <v>118</v>
      </c>
      <c r="T126" s="106" t="b">
        <f>IF(L126=4,Tot.Head!T117)</f>
        <v>0</v>
      </c>
      <c r="U126" s="106" t="b">
        <f>IF(L126=5,Tot.Head!U117)</f>
        <v>0</v>
      </c>
      <c r="V126" s="106" t="b">
        <f>IF(L126=6,Tot.Head!V117)</f>
        <v>0</v>
      </c>
      <c r="W126" s="106" t="b">
        <f>IF(L126=7,Tot.Head!W117)</f>
        <v>0</v>
      </c>
      <c r="X126" s="106" t="b">
        <f>IF(L126=8,Tot.Head!X117)</f>
        <v>0</v>
      </c>
      <c r="Y126" s="106" t="b">
        <f>IF(L126=9,Tot.Head!Y117)</f>
        <v>0</v>
      </c>
      <c r="Z126" s="106" t="b">
        <f>IF(L126=10,Tot.Head!Z117)</f>
        <v>0</v>
      </c>
      <c r="AA126" s="106" t="b">
        <f>IF(L126=11,Tot.Head!AA117)</f>
        <v>0</v>
      </c>
      <c r="AB126" s="106" t="b">
        <f>IF(L126=12,Tot.Head!AB117)</f>
        <v>0</v>
      </c>
      <c r="AC126" s="106" t="b">
        <f>IF(L126=13,Tot.Head!AC117)</f>
        <v>0</v>
      </c>
      <c r="AD126" s="106" t="b">
        <f>IF(L126=14,Tot.Head!AD117)</f>
        <v>0</v>
      </c>
      <c r="AE126" s="106" t="b">
        <f>IF(L126=15,Tot.Head!AE117)</f>
        <v>0</v>
      </c>
      <c r="AF126" s="106" t="b">
        <f>IF(L126=16,Tot.Head!AF117)</f>
        <v>0</v>
      </c>
      <c r="AG126" s="106" t="b">
        <f>IF(L126=17,Tot.Head!AG117)</f>
        <v>0</v>
      </c>
    </row>
    <row r="127" spans="12:35" x14ac:dyDescent="0.2">
      <c r="L127" s="87">
        <f t="shared" si="27"/>
        <v>3</v>
      </c>
      <c r="O127" s="99">
        <v>6</v>
      </c>
      <c r="P127" s="100" t="s">
        <v>117</v>
      </c>
      <c r="Q127" s="106" t="b">
        <f>IF(L127=1,Tot.Head!Q118)</f>
        <v>0</v>
      </c>
      <c r="R127" s="106" t="b">
        <f>IF(L127=2,Tot.Head!R118)</f>
        <v>0</v>
      </c>
      <c r="S127" s="106">
        <f>IF(L127=3,Tot.Head!S118)</f>
        <v>140</v>
      </c>
      <c r="T127" s="106" t="b">
        <f>IF(L127=4,Tot.Head!T118)</f>
        <v>0</v>
      </c>
      <c r="U127" s="106" t="b">
        <f>IF(L127=5,Tot.Head!U118)</f>
        <v>0</v>
      </c>
      <c r="V127" s="106" t="b">
        <f>IF(L127=6,Tot.Head!V118)</f>
        <v>0</v>
      </c>
      <c r="W127" s="106" t="b">
        <f>IF(L127=7,Tot.Head!W118)</f>
        <v>0</v>
      </c>
      <c r="X127" s="106" t="b">
        <f>IF(L127=8,Tot.Head!X118)</f>
        <v>0</v>
      </c>
      <c r="Y127" s="106" t="b">
        <f>IF(L127=9,Tot.Head!Y118)</f>
        <v>0</v>
      </c>
      <c r="Z127" s="106" t="b">
        <f>IF(L127=10,Tot.Head!Z118)</f>
        <v>0</v>
      </c>
      <c r="AA127" s="106" t="b">
        <f>IF(L127=11,Tot.Head!AA118)</f>
        <v>0</v>
      </c>
      <c r="AB127" s="106" t="b">
        <f>IF(L127=12,Tot.Head!AB118)</f>
        <v>0</v>
      </c>
      <c r="AC127" s="106" t="b">
        <f>IF(L127=13,Tot.Head!AC118)</f>
        <v>0</v>
      </c>
      <c r="AD127" s="106" t="b">
        <f>IF(L127=14,Tot.Head!AD118)</f>
        <v>0</v>
      </c>
      <c r="AE127" s="106" t="b">
        <f>IF(L127=15,Tot.Head!AE118)</f>
        <v>0</v>
      </c>
      <c r="AF127" s="106" t="b">
        <f>IF(L127=16,Tot.Head!AF118)</f>
        <v>0</v>
      </c>
      <c r="AG127" s="106" t="b">
        <f>IF(L127=17,Tot.Head!AG118)</f>
        <v>0</v>
      </c>
    </row>
    <row r="128" spans="12:35" x14ac:dyDescent="0.2">
      <c r="L128" s="87">
        <f t="shared" si="27"/>
        <v>3</v>
      </c>
      <c r="O128" s="99">
        <v>7</v>
      </c>
      <c r="P128" s="100" t="s">
        <v>116</v>
      </c>
      <c r="Q128" s="106" t="b">
        <f>IF(L128=1,Tot.Head!Q119)</f>
        <v>0</v>
      </c>
      <c r="R128" s="106" t="b">
        <f>IF(L128=2,Tot.Head!R119)</f>
        <v>0</v>
      </c>
      <c r="S128" s="106">
        <f>IF(L128=3,Tot.Head!S119)</f>
        <v>142</v>
      </c>
      <c r="T128" s="106" t="b">
        <f>IF(L128=4,Tot.Head!T119)</f>
        <v>0</v>
      </c>
      <c r="U128" s="106" t="b">
        <f>IF(L128=5,Tot.Head!U119)</f>
        <v>0</v>
      </c>
      <c r="V128" s="106" t="b">
        <f>IF(L128=6,Tot.Head!V119)</f>
        <v>0</v>
      </c>
      <c r="W128" s="106" t="b">
        <f>IF(L128=7,Tot.Head!W119)</f>
        <v>0</v>
      </c>
      <c r="X128" s="106" t="b">
        <f>IF(L128=8,Tot.Head!X119)</f>
        <v>0</v>
      </c>
      <c r="Y128" s="106" t="b">
        <f>IF(L128=9,Tot.Head!Y119)</f>
        <v>0</v>
      </c>
      <c r="Z128" s="106" t="b">
        <f>IF(L128=10,Tot.Head!Z119)</f>
        <v>0</v>
      </c>
      <c r="AA128" s="106" t="b">
        <f>IF(L128=11,Tot.Head!AA119)</f>
        <v>0</v>
      </c>
      <c r="AB128" s="106" t="b">
        <f>IF(L128=12,Tot.Head!AB119)</f>
        <v>0</v>
      </c>
      <c r="AC128" s="106" t="b">
        <f>IF(L128=13,Tot.Head!AC119)</f>
        <v>0</v>
      </c>
      <c r="AD128" s="106" t="b">
        <f>IF(L128=14,Tot.Head!AD119)</f>
        <v>0</v>
      </c>
      <c r="AE128" s="106" t="b">
        <f>IF(L128=15,Tot.Head!AE119)</f>
        <v>0</v>
      </c>
      <c r="AF128" s="106" t="b">
        <f>IF(L128=16,Tot.Head!AF119)</f>
        <v>0</v>
      </c>
      <c r="AG128" s="106" t="b">
        <f>IF(L128=17,Tot.Head!AG119)</f>
        <v>0</v>
      </c>
    </row>
    <row r="130" spans="12:35" x14ac:dyDescent="0.2">
      <c r="O130" s="99">
        <v>1</v>
      </c>
      <c r="P130" s="100" t="s">
        <v>94</v>
      </c>
      <c r="Q130" s="106" t="b">
        <f>IF('Newtonus.Calculator.T Head.Pipe'!$G$20=1,Tot.Head!Q122)</f>
        <v>0</v>
      </c>
      <c r="R130" s="106" t="b">
        <f>IF('Newtonus.Calculator.T Head.Pipe'!$G$20=1,Tot.Head!R122)</f>
        <v>0</v>
      </c>
      <c r="S130" s="106" t="b">
        <f>IF('Newtonus.Calculator.T Head.Pipe'!$G$20=1,Tot.Head!S122)</f>
        <v>0</v>
      </c>
      <c r="T130" s="106" t="b">
        <f>IF('Newtonus.Calculator.T Head.Pipe'!$G$20=1,Tot.Head!T122)</f>
        <v>0</v>
      </c>
      <c r="U130" s="106" t="b">
        <f>IF('Newtonus.Calculator.T Head.Pipe'!$G$20=1,Tot.Head!U122)</f>
        <v>0</v>
      </c>
      <c r="V130" s="106" t="b">
        <f>IF('Newtonus.Calculator.T Head.Pipe'!$G$20=1,Tot.Head!V122)</f>
        <v>0</v>
      </c>
      <c r="W130" s="106" t="b">
        <f>IF('Newtonus.Calculator.T Head.Pipe'!$G$20=1,Tot.Head!W122)</f>
        <v>0</v>
      </c>
      <c r="X130" s="106" t="b">
        <f>IF('Newtonus.Calculator.T Head.Pipe'!$G$20=1,Tot.Head!X122)</f>
        <v>0</v>
      </c>
      <c r="Y130" s="106" t="b">
        <f>IF('Newtonus.Calculator.T Head.Pipe'!$G$20=1,Tot.Head!Y122)</f>
        <v>0</v>
      </c>
      <c r="Z130" s="106" t="b">
        <f>IF('Newtonus.Calculator.T Head.Pipe'!$G$20=1,Tot.Head!Z122)</f>
        <v>0</v>
      </c>
      <c r="AA130" s="106" t="b">
        <f>IF('Newtonus.Calculator.T Head.Pipe'!$G$20=1,Tot.Head!AA122)</f>
        <v>0</v>
      </c>
      <c r="AB130" s="106" t="b">
        <f>IF('Newtonus.Calculator.T Head.Pipe'!$G$20=1,Tot.Head!AB122)</f>
        <v>0</v>
      </c>
      <c r="AC130" s="106" t="b">
        <f>IF('Newtonus.Calculator.T Head.Pipe'!$G$20=1,Tot.Head!AC122)</f>
        <v>0</v>
      </c>
      <c r="AD130" s="106" t="b">
        <f>IF('Newtonus.Calculator.T Head.Pipe'!$G$20=1,Tot.Head!AD122)</f>
        <v>0</v>
      </c>
      <c r="AE130" s="106" t="b">
        <f>IF('Newtonus.Calculator.T Head.Pipe'!$G$20=1,Tot.Head!AE122)</f>
        <v>0</v>
      </c>
      <c r="AF130" s="106" t="b">
        <f>IF('Newtonus.Calculator.T Head.Pipe'!$G$20=1,Tot.Head!AF122)</f>
        <v>0</v>
      </c>
      <c r="AG130" s="106" t="b">
        <f>IF('Newtonus.Calculator.T Head.Pipe'!$G$20=1,Tot.Head!AG122)</f>
        <v>0</v>
      </c>
      <c r="AH130" s="104">
        <f>SUM(Q130:AG130)</f>
        <v>0</v>
      </c>
    </row>
    <row r="131" spans="12:35" x14ac:dyDescent="0.2">
      <c r="O131" s="99">
        <v>2</v>
      </c>
      <c r="P131" s="100" t="s">
        <v>103</v>
      </c>
      <c r="Q131" s="106" t="b">
        <f>IF('Newtonus.Calculator.T Head.Pipe'!$G$20=2,Tot.Head!Q123)</f>
        <v>0</v>
      </c>
      <c r="R131" s="106" t="b">
        <f>IF('Newtonus.Calculator.T Head.Pipe'!$G$20=2,Tot.Head!R123)</f>
        <v>0</v>
      </c>
      <c r="S131" s="106" t="b">
        <f>IF('Newtonus.Calculator.T Head.Pipe'!$G$20=2,Tot.Head!S123)</f>
        <v>0</v>
      </c>
      <c r="T131" s="106" t="b">
        <f>IF('Newtonus.Calculator.T Head.Pipe'!$G$20=2,Tot.Head!T123)</f>
        <v>0</v>
      </c>
      <c r="U131" s="106" t="b">
        <f>IF('Newtonus.Calculator.T Head.Pipe'!$G$20=2,Tot.Head!U123)</f>
        <v>0</v>
      </c>
      <c r="V131" s="106" t="b">
        <f>IF('Newtonus.Calculator.T Head.Pipe'!$G$20=2,Tot.Head!V123)</f>
        <v>0</v>
      </c>
      <c r="W131" s="106" t="b">
        <f>IF('Newtonus.Calculator.T Head.Pipe'!$G$20=2,Tot.Head!W123)</f>
        <v>0</v>
      </c>
      <c r="X131" s="106" t="b">
        <f>IF('Newtonus.Calculator.T Head.Pipe'!$G$20=2,Tot.Head!X123)</f>
        <v>0</v>
      </c>
      <c r="Y131" s="106" t="b">
        <f>IF('Newtonus.Calculator.T Head.Pipe'!$G$20=2,Tot.Head!Y123)</f>
        <v>0</v>
      </c>
      <c r="Z131" s="106" t="b">
        <f>IF('Newtonus.Calculator.T Head.Pipe'!$G$20=2,Tot.Head!Z123)</f>
        <v>0</v>
      </c>
      <c r="AA131" s="106" t="b">
        <f>IF('Newtonus.Calculator.T Head.Pipe'!$G$20=2,Tot.Head!AA123)</f>
        <v>0</v>
      </c>
      <c r="AB131" s="106" t="b">
        <f>IF('Newtonus.Calculator.T Head.Pipe'!$G$20=2,Tot.Head!AB123)</f>
        <v>0</v>
      </c>
      <c r="AC131" s="106" t="b">
        <f>IF('Newtonus.Calculator.T Head.Pipe'!$G$20=2,Tot.Head!AC123)</f>
        <v>0</v>
      </c>
      <c r="AD131" s="106" t="b">
        <f>IF('Newtonus.Calculator.T Head.Pipe'!$G$20=2,Tot.Head!AD123)</f>
        <v>0</v>
      </c>
      <c r="AE131" s="106" t="b">
        <f>IF('Newtonus.Calculator.T Head.Pipe'!$G$20=2,Tot.Head!AE123)</f>
        <v>0</v>
      </c>
      <c r="AF131" s="106" t="b">
        <f>IF('Newtonus.Calculator.T Head.Pipe'!$G$20=2,Tot.Head!AF123)</f>
        <v>0</v>
      </c>
      <c r="AG131" s="106" t="b">
        <f>IF('Newtonus.Calculator.T Head.Pipe'!$G$20=2,Tot.Head!AG123)</f>
        <v>0</v>
      </c>
      <c r="AH131" s="104">
        <f t="shared" ref="AH131:AH136" si="28">SUM(Q131:AG131)</f>
        <v>0</v>
      </c>
    </row>
    <row r="132" spans="12:35" x14ac:dyDescent="0.2">
      <c r="O132" s="99">
        <v>3</v>
      </c>
      <c r="P132" s="100" t="s">
        <v>102</v>
      </c>
      <c r="Q132" s="106" t="b">
        <f>IF('Newtonus.Calculator.T Head.Pipe'!$G$20=3,Tot.Head!Q124)</f>
        <v>0</v>
      </c>
      <c r="R132" s="106" t="b">
        <f>IF('Newtonus.Calculator.T Head.Pipe'!$G$20=3,Tot.Head!R124)</f>
        <v>0</v>
      </c>
      <c r="S132" s="106">
        <f>IF('Newtonus.Calculator.T Head.Pipe'!$G$20=3,Tot.Head!S124)</f>
        <v>116</v>
      </c>
      <c r="T132" s="106" t="b">
        <f>IF('Newtonus.Calculator.T Head.Pipe'!$G$20=3,Tot.Head!T124)</f>
        <v>0</v>
      </c>
      <c r="U132" s="106" t="b">
        <f>IF('Newtonus.Calculator.T Head.Pipe'!$G$20=3,Tot.Head!U124)</f>
        <v>0</v>
      </c>
      <c r="V132" s="106" t="b">
        <f>IF('Newtonus.Calculator.T Head.Pipe'!$G$20=3,Tot.Head!V124)</f>
        <v>0</v>
      </c>
      <c r="W132" s="106" t="b">
        <f>IF('Newtonus.Calculator.T Head.Pipe'!$G$20=3,Tot.Head!W124)</f>
        <v>0</v>
      </c>
      <c r="X132" s="106" t="b">
        <f>IF('Newtonus.Calculator.T Head.Pipe'!$G$20=3,Tot.Head!X124)</f>
        <v>0</v>
      </c>
      <c r="Y132" s="106" t="b">
        <f>IF('Newtonus.Calculator.T Head.Pipe'!$G$20=3,Tot.Head!Y124)</f>
        <v>0</v>
      </c>
      <c r="Z132" s="106" t="b">
        <f>IF('Newtonus.Calculator.T Head.Pipe'!$G$20=3,Tot.Head!Z124)</f>
        <v>0</v>
      </c>
      <c r="AA132" s="106" t="b">
        <f>IF('Newtonus.Calculator.T Head.Pipe'!$G$20=3,Tot.Head!AA124)</f>
        <v>0</v>
      </c>
      <c r="AB132" s="106" t="b">
        <f>IF('Newtonus.Calculator.T Head.Pipe'!$G$20=3,Tot.Head!AB124)</f>
        <v>0</v>
      </c>
      <c r="AC132" s="106" t="b">
        <f>IF('Newtonus.Calculator.T Head.Pipe'!$G$20=3,Tot.Head!AC124)</f>
        <v>0</v>
      </c>
      <c r="AD132" s="106" t="b">
        <f>IF('Newtonus.Calculator.T Head.Pipe'!$G$20=3,Tot.Head!AD124)</f>
        <v>0</v>
      </c>
      <c r="AE132" s="106" t="b">
        <f>IF('Newtonus.Calculator.T Head.Pipe'!$G$20=3,Tot.Head!AE124)</f>
        <v>0</v>
      </c>
      <c r="AF132" s="106" t="b">
        <f>IF('Newtonus.Calculator.T Head.Pipe'!$G$20=3,Tot.Head!AF124)</f>
        <v>0</v>
      </c>
      <c r="AG132" s="106" t="b">
        <f>IF('Newtonus.Calculator.T Head.Pipe'!$G$20=3,Tot.Head!AG124)</f>
        <v>0</v>
      </c>
      <c r="AH132" s="104">
        <f t="shared" si="28"/>
        <v>116</v>
      </c>
    </row>
    <row r="133" spans="12:35" x14ac:dyDescent="0.2">
      <c r="O133" s="99">
        <v>4</v>
      </c>
      <c r="P133" s="87" t="s">
        <v>95</v>
      </c>
      <c r="Q133" s="106" t="b">
        <f>IF('Newtonus.Calculator.T Head.Pipe'!$G$20=4,Tot.Head!Q125)</f>
        <v>0</v>
      </c>
      <c r="R133" s="106" t="b">
        <f>IF('Newtonus.Calculator.T Head.Pipe'!$G$20=4,Tot.Head!R125)</f>
        <v>0</v>
      </c>
      <c r="S133" s="106" t="b">
        <f>IF('Newtonus.Calculator.T Head.Pipe'!$G$20=4,Tot.Head!S125)</f>
        <v>0</v>
      </c>
      <c r="T133" s="106" t="b">
        <f>IF('Newtonus.Calculator.T Head.Pipe'!$G$20=4,Tot.Head!T125)</f>
        <v>0</v>
      </c>
      <c r="U133" s="106" t="b">
        <f>IF('Newtonus.Calculator.T Head.Pipe'!$G$20=4,Tot.Head!U125)</f>
        <v>0</v>
      </c>
      <c r="V133" s="106" t="b">
        <f>IF('Newtonus.Calculator.T Head.Pipe'!$G$20=4,Tot.Head!V125)</f>
        <v>0</v>
      </c>
      <c r="W133" s="106" t="b">
        <f>IF('Newtonus.Calculator.T Head.Pipe'!$G$20=4,Tot.Head!W125)</f>
        <v>0</v>
      </c>
      <c r="X133" s="106" t="b">
        <f>IF('Newtonus.Calculator.T Head.Pipe'!$G$20=4,Tot.Head!X125)</f>
        <v>0</v>
      </c>
      <c r="Y133" s="106" t="b">
        <f>IF('Newtonus.Calculator.T Head.Pipe'!$G$20=4,Tot.Head!Y125)</f>
        <v>0</v>
      </c>
      <c r="Z133" s="106" t="b">
        <f>IF('Newtonus.Calculator.T Head.Pipe'!$G$20=4,Tot.Head!Z125)</f>
        <v>0</v>
      </c>
      <c r="AA133" s="106" t="b">
        <f>IF('Newtonus.Calculator.T Head.Pipe'!$G$20=4,Tot.Head!AA125)</f>
        <v>0</v>
      </c>
      <c r="AB133" s="106" t="b">
        <f>IF('Newtonus.Calculator.T Head.Pipe'!$G$20=4,Tot.Head!AB125)</f>
        <v>0</v>
      </c>
      <c r="AC133" s="106" t="b">
        <f>IF('Newtonus.Calculator.T Head.Pipe'!$G$20=4,Tot.Head!AC125)</f>
        <v>0</v>
      </c>
      <c r="AD133" s="106" t="b">
        <f>IF('Newtonus.Calculator.T Head.Pipe'!$G$20=4,Tot.Head!AD125)</f>
        <v>0</v>
      </c>
      <c r="AE133" s="106" t="b">
        <f>IF('Newtonus.Calculator.T Head.Pipe'!$G$20=4,Tot.Head!AE125)</f>
        <v>0</v>
      </c>
      <c r="AF133" s="106" t="b">
        <f>IF('Newtonus.Calculator.T Head.Pipe'!$G$20=4,Tot.Head!AF125)</f>
        <v>0</v>
      </c>
      <c r="AG133" s="106" t="b">
        <f>IF('Newtonus.Calculator.T Head.Pipe'!$G$20=4,Tot.Head!AG125)</f>
        <v>0</v>
      </c>
      <c r="AH133" s="104">
        <f t="shared" si="28"/>
        <v>0</v>
      </c>
    </row>
    <row r="134" spans="12:35" x14ac:dyDescent="0.2">
      <c r="O134" s="99">
        <v>5</v>
      </c>
      <c r="P134" s="100" t="s">
        <v>96</v>
      </c>
      <c r="Q134" s="106" t="b">
        <f>IF('Newtonus.Calculator.T Head.Pipe'!$G$20=5,Tot.Head!Q126)</f>
        <v>0</v>
      </c>
      <c r="R134" s="106" t="b">
        <f>IF('Newtonus.Calculator.T Head.Pipe'!$G$20=5,Tot.Head!R126)</f>
        <v>0</v>
      </c>
      <c r="S134" s="106" t="b">
        <f>IF('Newtonus.Calculator.T Head.Pipe'!$G$20=5,Tot.Head!S126)</f>
        <v>0</v>
      </c>
      <c r="T134" s="106" t="b">
        <f>IF('Newtonus.Calculator.T Head.Pipe'!$G$20=5,Tot.Head!T126)</f>
        <v>0</v>
      </c>
      <c r="U134" s="106" t="b">
        <f>IF('Newtonus.Calculator.T Head.Pipe'!$G$20=5,Tot.Head!U126)</f>
        <v>0</v>
      </c>
      <c r="V134" s="106" t="b">
        <f>IF('Newtonus.Calculator.T Head.Pipe'!$G$20=5,Tot.Head!V126)</f>
        <v>0</v>
      </c>
      <c r="W134" s="106" t="b">
        <f>IF('Newtonus.Calculator.T Head.Pipe'!$G$20=5,Tot.Head!W126)</f>
        <v>0</v>
      </c>
      <c r="X134" s="106" t="b">
        <f>IF('Newtonus.Calculator.T Head.Pipe'!$G$20=5,Tot.Head!X126)</f>
        <v>0</v>
      </c>
      <c r="Y134" s="106" t="b">
        <f>IF('Newtonus.Calculator.T Head.Pipe'!$G$20=5,Tot.Head!Y126)</f>
        <v>0</v>
      </c>
      <c r="Z134" s="106" t="b">
        <f>IF('Newtonus.Calculator.T Head.Pipe'!$G$20=5,Tot.Head!Z126)</f>
        <v>0</v>
      </c>
      <c r="AA134" s="106" t="b">
        <f>IF('Newtonus.Calculator.T Head.Pipe'!$G$20=5,Tot.Head!AA126)</f>
        <v>0</v>
      </c>
      <c r="AB134" s="106" t="b">
        <f>IF('Newtonus.Calculator.T Head.Pipe'!$G$20=5,Tot.Head!AB126)</f>
        <v>0</v>
      </c>
      <c r="AC134" s="106" t="b">
        <f>IF('Newtonus.Calculator.T Head.Pipe'!$G$20=5,Tot.Head!AC126)</f>
        <v>0</v>
      </c>
      <c r="AD134" s="106" t="b">
        <f>IF('Newtonus.Calculator.T Head.Pipe'!$G$20=5,Tot.Head!AD126)</f>
        <v>0</v>
      </c>
      <c r="AE134" s="106" t="b">
        <f>IF('Newtonus.Calculator.T Head.Pipe'!$G$20=5,Tot.Head!AE126)</f>
        <v>0</v>
      </c>
      <c r="AF134" s="106" t="b">
        <f>IF('Newtonus.Calculator.T Head.Pipe'!$G$20=5,Tot.Head!AF126)</f>
        <v>0</v>
      </c>
      <c r="AG134" s="106" t="b">
        <f>IF('Newtonus.Calculator.T Head.Pipe'!$G$20=5,Tot.Head!AG126)</f>
        <v>0</v>
      </c>
      <c r="AH134" s="104">
        <f t="shared" si="28"/>
        <v>0</v>
      </c>
    </row>
    <row r="135" spans="12:35" x14ac:dyDescent="0.2">
      <c r="O135" s="99">
        <v>6</v>
      </c>
      <c r="P135" s="100" t="s">
        <v>117</v>
      </c>
      <c r="Q135" s="106" t="b">
        <f>IF('Newtonus.Calculator.T Head.Pipe'!$G$20=6,Tot.Head!Q127)</f>
        <v>0</v>
      </c>
      <c r="R135" s="106" t="b">
        <f>IF('Newtonus.Calculator.T Head.Pipe'!$G$20=6,Tot.Head!R127)</f>
        <v>0</v>
      </c>
      <c r="S135" s="106" t="b">
        <f>IF('Newtonus.Calculator.T Head.Pipe'!$G$20=6,Tot.Head!S127)</f>
        <v>0</v>
      </c>
      <c r="T135" s="106" t="b">
        <f>IF('Newtonus.Calculator.T Head.Pipe'!$G$20=6,Tot.Head!T127)</f>
        <v>0</v>
      </c>
      <c r="U135" s="106" t="b">
        <f>IF('Newtonus.Calculator.T Head.Pipe'!$G$20=6,Tot.Head!U127)</f>
        <v>0</v>
      </c>
      <c r="V135" s="106" t="b">
        <f>IF('Newtonus.Calculator.T Head.Pipe'!$G$20=6,Tot.Head!V127)</f>
        <v>0</v>
      </c>
      <c r="W135" s="106" t="b">
        <f>IF('Newtonus.Calculator.T Head.Pipe'!$G$20=6,Tot.Head!W127)</f>
        <v>0</v>
      </c>
      <c r="X135" s="106" t="b">
        <f>IF('Newtonus.Calculator.T Head.Pipe'!$G$20=6,Tot.Head!X127)</f>
        <v>0</v>
      </c>
      <c r="Y135" s="106" t="b">
        <f>IF('Newtonus.Calculator.T Head.Pipe'!$G$20=6,Tot.Head!Y127)</f>
        <v>0</v>
      </c>
      <c r="Z135" s="106" t="b">
        <f>IF('Newtonus.Calculator.T Head.Pipe'!$G$20=6,Tot.Head!Z127)</f>
        <v>0</v>
      </c>
      <c r="AA135" s="106" t="b">
        <f>IF('Newtonus.Calculator.T Head.Pipe'!$G$20=6,Tot.Head!AA127)</f>
        <v>0</v>
      </c>
      <c r="AB135" s="106" t="b">
        <f>IF('Newtonus.Calculator.T Head.Pipe'!$G$20=6,Tot.Head!AB127)</f>
        <v>0</v>
      </c>
      <c r="AC135" s="106" t="b">
        <f>IF('Newtonus.Calculator.T Head.Pipe'!$G$20=6,Tot.Head!AC127)</f>
        <v>0</v>
      </c>
      <c r="AD135" s="106" t="b">
        <f>IF('Newtonus.Calculator.T Head.Pipe'!$G$20=6,Tot.Head!AD127)</f>
        <v>0</v>
      </c>
      <c r="AE135" s="106" t="b">
        <f>IF('Newtonus.Calculator.T Head.Pipe'!$G$20=6,Tot.Head!AE127)</f>
        <v>0</v>
      </c>
      <c r="AF135" s="106" t="b">
        <f>IF('Newtonus.Calculator.T Head.Pipe'!$G$20=6,Tot.Head!AF127)</f>
        <v>0</v>
      </c>
      <c r="AG135" s="106" t="b">
        <f>IF('Newtonus.Calculator.T Head.Pipe'!$G$20=6,Tot.Head!AG127)</f>
        <v>0</v>
      </c>
      <c r="AH135" s="104">
        <f t="shared" si="28"/>
        <v>0</v>
      </c>
    </row>
    <row r="136" spans="12:35" x14ac:dyDescent="0.2">
      <c r="O136" s="99">
        <v>7</v>
      </c>
      <c r="P136" s="100" t="s">
        <v>116</v>
      </c>
      <c r="Q136" s="106" t="b">
        <f>IF('Newtonus.Calculator.T Head.Pipe'!$G$20=7,Tot.Head!Q128)</f>
        <v>0</v>
      </c>
      <c r="R136" s="106" t="b">
        <f>IF('Newtonus.Calculator.T Head.Pipe'!$G$20=7,Tot.Head!R128)</f>
        <v>0</v>
      </c>
      <c r="S136" s="106" t="b">
        <f>IF('Newtonus.Calculator.T Head.Pipe'!$G$20=7,Tot.Head!S128)</f>
        <v>0</v>
      </c>
      <c r="T136" s="106" t="b">
        <f>IF('Newtonus.Calculator.T Head.Pipe'!$G$20=7,Tot.Head!T128)</f>
        <v>0</v>
      </c>
      <c r="U136" s="106" t="b">
        <f>IF('Newtonus.Calculator.T Head.Pipe'!$G$20=7,Tot.Head!U128)</f>
        <v>0</v>
      </c>
      <c r="V136" s="106" t="b">
        <f>IF('Newtonus.Calculator.T Head.Pipe'!$G$20=7,Tot.Head!V128)</f>
        <v>0</v>
      </c>
      <c r="W136" s="106" t="b">
        <f>IF('Newtonus.Calculator.T Head.Pipe'!$G$20=7,Tot.Head!W128)</f>
        <v>0</v>
      </c>
      <c r="X136" s="106" t="b">
        <f>IF('Newtonus.Calculator.T Head.Pipe'!$G$20=7,Tot.Head!X128)</f>
        <v>0</v>
      </c>
      <c r="Y136" s="106" t="b">
        <f>IF('Newtonus.Calculator.T Head.Pipe'!$G$20=7,Tot.Head!Y128)</f>
        <v>0</v>
      </c>
      <c r="Z136" s="106" t="b">
        <f>IF('Newtonus.Calculator.T Head.Pipe'!$G$20=7,Tot.Head!Z128)</f>
        <v>0</v>
      </c>
      <c r="AA136" s="106" t="b">
        <f>IF('Newtonus.Calculator.T Head.Pipe'!$G$20=7,Tot.Head!AA128)</f>
        <v>0</v>
      </c>
      <c r="AB136" s="106" t="b">
        <f>IF('Newtonus.Calculator.T Head.Pipe'!$G$20=7,Tot.Head!AB128)</f>
        <v>0</v>
      </c>
      <c r="AC136" s="106" t="b">
        <f>IF('Newtonus.Calculator.T Head.Pipe'!$G$20=7,Tot.Head!AC128)</f>
        <v>0</v>
      </c>
      <c r="AD136" s="106" t="b">
        <f>IF('Newtonus.Calculator.T Head.Pipe'!$G$20=7,Tot.Head!AD128)</f>
        <v>0</v>
      </c>
      <c r="AE136" s="106" t="b">
        <f>IF('Newtonus.Calculator.T Head.Pipe'!$G$20=7,Tot.Head!AE128)</f>
        <v>0</v>
      </c>
      <c r="AF136" s="106" t="b">
        <f>IF('Newtonus.Calculator.T Head.Pipe'!$G$20=7,Tot.Head!AF128)</f>
        <v>0</v>
      </c>
      <c r="AG136" s="106" t="b">
        <f>IF('Newtonus.Calculator.T Head.Pipe'!$G$20=7,Tot.Head!AG128)</f>
        <v>0</v>
      </c>
      <c r="AH136" s="104">
        <f t="shared" si="28"/>
        <v>0</v>
      </c>
    </row>
    <row r="137" spans="12:35" x14ac:dyDescent="0.2">
      <c r="AH137" s="104"/>
    </row>
    <row r="138" spans="12:35" x14ac:dyDescent="0.2">
      <c r="AH138" s="104">
        <f>SUM(AH130:AH136)</f>
        <v>116</v>
      </c>
      <c r="AI138" s="87" t="s">
        <v>114</v>
      </c>
    </row>
    <row r="139" spans="12:35" x14ac:dyDescent="0.2">
      <c r="O139" s="131" t="s">
        <v>120</v>
      </c>
      <c r="P139" s="131"/>
    </row>
    <row r="140" spans="12:35" x14ac:dyDescent="0.2">
      <c r="L140" s="87">
        <f>$L$201</f>
        <v>4</v>
      </c>
      <c r="O140" s="99">
        <v>1</v>
      </c>
      <c r="P140" s="100" t="s">
        <v>94</v>
      </c>
      <c r="Q140" s="106" t="b">
        <f>IF(L140=1,Tot.Head!Q113)</f>
        <v>0</v>
      </c>
      <c r="R140" s="106" t="b">
        <f>IF(L140=2,Tot.Head!R113)</f>
        <v>0</v>
      </c>
      <c r="S140" s="106" t="b">
        <f>IF(L140=3,Tot.Head!S113)</f>
        <v>0</v>
      </c>
      <c r="T140" s="106">
        <f>IF(L140=4,Tot.Head!T113)</f>
        <v>142</v>
      </c>
      <c r="U140" s="106" t="b">
        <f>IF(L140=5,Tot.Head!U113)</f>
        <v>0</v>
      </c>
      <c r="V140" s="106" t="b">
        <f>IF(L140=6,Tot.Head!V113)</f>
        <v>0</v>
      </c>
      <c r="W140" s="106" t="b">
        <f>IF(L140=7,Tot.Head!W113)</f>
        <v>0</v>
      </c>
      <c r="X140" s="106" t="b">
        <f>IF(L140=8,Tot.Head!X113)</f>
        <v>0</v>
      </c>
      <c r="Y140" s="106" t="b">
        <f>IF(L140=9,Tot.Head!Y113)</f>
        <v>0</v>
      </c>
      <c r="Z140" s="106" t="b">
        <f>IF(L140=10,Tot.Head!Z113)</f>
        <v>0</v>
      </c>
      <c r="AA140" s="106" t="b">
        <f>IF(L140=11,Tot.Head!AA113)</f>
        <v>0</v>
      </c>
      <c r="AB140" s="106" t="b">
        <f>IF(L140=12,Tot.Head!AB113)</f>
        <v>0</v>
      </c>
      <c r="AC140" s="106" t="b">
        <f>IF(L140=13,Tot.Head!AC113)</f>
        <v>0</v>
      </c>
      <c r="AD140" s="106" t="b">
        <f>IF(L140=14,Tot.Head!AD113)</f>
        <v>0</v>
      </c>
      <c r="AE140" s="106" t="b">
        <f>IF(L140=15,Tot.Head!AE113)</f>
        <v>0</v>
      </c>
      <c r="AF140" s="106" t="b">
        <f>IF(L140=16,Tot.Head!AF113)</f>
        <v>0</v>
      </c>
      <c r="AG140" s="106" t="b">
        <f>IF(L140=17,Tot.Head!AG113)</f>
        <v>0</v>
      </c>
    </row>
    <row r="141" spans="12:35" x14ac:dyDescent="0.2">
      <c r="L141" s="87">
        <f t="shared" ref="L141:L146" si="29">$L$201</f>
        <v>4</v>
      </c>
      <c r="O141" s="99">
        <v>2</v>
      </c>
      <c r="P141" s="100" t="s">
        <v>103</v>
      </c>
      <c r="Q141" s="106" t="b">
        <f>IF(L141=1,Tot.Head!Q114)</f>
        <v>0</v>
      </c>
      <c r="R141" s="106" t="b">
        <f>IF(L141=2,Tot.Head!R114)</f>
        <v>0</v>
      </c>
      <c r="S141" s="106" t="b">
        <f>IF(L141=3,Tot.Head!S114)</f>
        <v>0</v>
      </c>
      <c r="T141" s="106">
        <f>IF(L141=4,Tot.Head!T114)</f>
        <v>133</v>
      </c>
      <c r="U141" s="106" t="b">
        <f>IF(L141=5,Tot.Head!U114)</f>
        <v>0</v>
      </c>
      <c r="V141" s="106" t="b">
        <f>IF(L141=6,Tot.Head!V114)</f>
        <v>0</v>
      </c>
      <c r="W141" s="106" t="b">
        <f>IF(L141=7,Tot.Head!W114)</f>
        <v>0</v>
      </c>
      <c r="X141" s="106" t="b">
        <f>IF(L141=8,Tot.Head!X114)</f>
        <v>0</v>
      </c>
      <c r="Y141" s="106" t="b">
        <f>IF(L141=9,Tot.Head!Y114)</f>
        <v>0</v>
      </c>
      <c r="Z141" s="106" t="b">
        <f>IF(L141=10,Tot.Head!Z114)</f>
        <v>0</v>
      </c>
      <c r="AA141" s="106" t="b">
        <f>IF(L141=11,Tot.Head!AA114)</f>
        <v>0</v>
      </c>
      <c r="AB141" s="106" t="b">
        <f>IF(L141=12,Tot.Head!AB114)</f>
        <v>0</v>
      </c>
      <c r="AC141" s="106" t="b">
        <f>IF(L141=13,Tot.Head!AC114)</f>
        <v>0</v>
      </c>
      <c r="AD141" s="106" t="b">
        <f>IF(L141=14,Tot.Head!AD114)</f>
        <v>0</v>
      </c>
      <c r="AE141" s="106" t="b">
        <f>IF(L141=15,Tot.Head!AE114)</f>
        <v>0</v>
      </c>
      <c r="AF141" s="106" t="b">
        <f>IF(L141=16,Tot.Head!AF114)</f>
        <v>0</v>
      </c>
      <c r="AG141" s="106" t="b">
        <f>IF(L141=17,Tot.Head!AG114)</f>
        <v>0</v>
      </c>
    </row>
    <row r="142" spans="12:35" x14ac:dyDescent="0.2">
      <c r="L142" s="87">
        <f t="shared" si="29"/>
        <v>4</v>
      </c>
      <c r="O142" s="99">
        <v>3</v>
      </c>
      <c r="P142" s="100" t="s">
        <v>102</v>
      </c>
      <c r="Q142" s="106" t="b">
        <f>IF(L142=1,Tot.Head!Q115)</f>
        <v>0</v>
      </c>
      <c r="R142" s="106" t="b">
        <f>IF(L142=2,Tot.Head!R115)</f>
        <v>0</v>
      </c>
      <c r="S142" s="106" t="b">
        <f>IF(L142=3,Tot.Head!S115)</f>
        <v>0</v>
      </c>
      <c r="T142" s="106">
        <f>IF(L142=4,Tot.Head!T115)</f>
        <v>119</v>
      </c>
      <c r="U142" s="106" t="b">
        <f>IF(L142=5,Tot.Head!U115)</f>
        <v>0</v>
      </c>
      <c r="V142" s="106" t="b">
        <f>IF(L142=6,Tot.Head!V115)</f>
        <v>0</v>
      </c>
      <c r="W142" s="106" t="b">
        <f>IF(L142=7,Tot.Head!W115)</f>
        <v>0</v>
      </c>
      <c r="X142" s="106" t="b">
        <f>IF(L142=8,Tot.Head!X115)</f>
        <v>0</v>
      </c>
      <c r="Y142" s="106" t="b">
        <f>IF(L142=9,Tot.Head!Y115)</f>
        <v>0</v>
      </c>
      <c r="Z142" s="106" t="b">
        <f>IF(L142=10,Tot.Head!Z115)</f>
        <v>0</v>
      </c>
      <c r="AA142" s="106" t="b">
        <f>IF(L142=11,Tot.Head!AA115)</f>
        <v>0</v>
      </c>
      <c r="AB142" s="106" t="b">
        <f>IF(L142=12,Tot.Head!AB115)</f>
        <v>0</v>
      </c>
      <c r="AC142" s="106" t="b">
        <f>IF(L142=13,Tot.Head!AC115)</f>
        <v>0</v>
      </c>
      <c r="AD142" s="106" t="b">
        <f>IF(L142=14,Tot.Head!AD115)</f>
        <v>0</v>
      </c>
      <c r="AE142" s="106" t="b">
        <f>IF(L142=15,Tot.Head!AE115)</f>
        <v>0</v>
      </c>
      <c r="AF142" s="106" t="b">
        <f>IF(L142=16,Tot.Head!AF115)</f>
        <v>0</v>
      </c>
      <c r="AG142" s="106" t="b">
        <f>IF(L142=17,Tot.Head!AG115)</f>
        <v>0</v>
      </c>
    </row>
    <row r="143" spans="12:35" x14ac:dyDescent="0.2">
      <c r="L143" s="87">
        <f t="shared" si="29"/>
        <v>4</v>
      </c>
      <c r="O143" s="99">
        <v>4</v>
      </c>
      <c r="P143" s="87" t="s">
        <v>95</v>
      </c>
      <c r="Q143" s="106" t="b">
        <f>IF(L143=1,Tot.Head!Q116)</f>
        <v>0</v>
      </c>
      <c r="R143" s="106" t="b">
        <f>IF(L143=2,Tot.Head!R116)</f>
        <v>0</v>
      </c>
      <c r="S143" s="106" t="b">
        <f>IF(L143=3,Tot.Head!S116)</f>
        <v>0</v>
      </c>
      <c r="T143" s="106">
        <f>IF(L143=4,Tot.Head!T116)</f>
        <v>142</v>
      </c>
      <c r="U143" s="106" t="b">
        <f>IF(L143=5,Tot.Head!U116)</f>
        <v>0</v>
      </c>
      <c r="V143" s="106" t="b">
        <f>IF(L143=6,Tot.Head!V116)</f>
        <v>0</v>
      </c>
      <c r="W143" s="106" t="b">
        <f>IF(L143=7,Tot.Head!W116)</f>
        <v>0</v>
      </c>
      <c r="X143" s="106" t="b">
        <f>IF(L143=8,Tot.Head!X116)</f>
        <v>0</v>
      </c>
      <c r="Y143" s="106" t="b">
        <f>IF(L143=9,Tot.Head!Y116)</f>
        <v>0</v>
      </c>
      <c r="Z143" s="106" t="b">
        <f>IF(L143=10,Tot.Head!Z116)</f>
        <v>0</v>
      </c>
      <c r="AA143" s="106" t="b">
        <f>IF(L143=11,Tot.Head!AA116)</f>
        <v>0</v>
      </c>
      <c r="AB143" s="106" t="b">
        <f>IF(L143=12,Tot.Head!AB116)</f>
        <v>0</v>
      </c>
      <c r="AC143" s="106" t="b">
        <f>IF(L143=13,Tot.Head!AC116)</f>
        <v>0</v>
      </c>
      <c r="AD143" s="106" t="b">
        <f>IF(L143=14,Tot.Head!AD116)</f>
        <v>0</v>
      </c>
      <c r="AE143" s="106" t="b">
        <f>IF(L143=15,Tot.Head!AE116)</f>
        <v>0</v>
      </c>
      <c r="AF143" s="106" t="b">
        <f>IF(L143=16,Tot.Head!AF116)</f>
        <v>0</v>
      </c>
      <c r="AG143" s="106" t="b">
        <f>IF(L143=17,Tot.Head!AG116)</f>
        <v>0</v>
      </c>
    </row>
    <row r="144" spans="12:35" x14ac:dyDescent="0.2">
      <c r="L144" s="87">
        <f t="shared" si="29"/>
        <v>4</v>
      </c>
      <c r="O144" s="99">
        <v>5</v>
      </c>
      <c r="P144" s="100" t="s">
        <v>96</v>
      </c>
      <c r="Q144" s="106" t="b">
        <f>IF(L144=1,Tot.Head!Q117)</f>
        <v>0</v>
      </c>
      <c r="R144" s="106" t="b">
        <f>IF(L144=2,Tot.Head!R117)</f>
        <v>0</v>
      </c>
      <c r="S144" s="106" t="b">
        <f>IF(L144=3,Tot.Head!S117)</f>
        <v>0</v>
      </c>
      <c r="T144" s="106">
        <f>IF(L144=4,Tot.Head!T117)</f>
        <v>118</v>
      </c>
      <c r="U144" s="106" t="b">
        <f>IF(L144=5,Tot.Head!U117)</f>
        <v>0</v>
      </c>
      <c r="V144" s="106" t="b">
        <f>IF(L144=6,Tot.Head!V117)</f>
        <v>0</v>
      </c>
      <c r="W144" s="106" t="b">
        <f>IF(L144=7,Tot.Head!W117)</f>
        <v>0</v>
      </c>
      <c r="X144" s="106" t="b">
        <f>IF(L144=8,Tot.Head!X117)</f>
        <v>0</v>
      </c>
      <c r="Y144" s="106" t="b">
        <f>IF(L144=9,Tot.Head!Y117)</f>
        <v>0</v>
      </c>
      <c r="Z144" s="106" t="b">
        <f>IF(L144=10,Tot.Head!Z117)</f>
        <v>0</v>
      </c>
      <c r="AA144" s="106" t="b">
        <f>IF(L144=11,Tot.Head!AA117)</f>
        <v>0</v>
      </c>
      <c r="AB144" s="106" t="b">
        <f>IF(L144=12,Tot.Head!AB117)</f>
        <v>0</v>
      </c>
      <c r="AC144" s="106" t="b">
        <f>IF(L144=13,Tot.Head!AC117)</f>
        <v>0</v>
      </c>
      <c r="AD144" s="106" t="b">
        <f>IF(L144=14,Tot.Head!AD117)</f>
        <v>0</v>
      </c>
      <c r="AE144" s="106" t="b">
        <f>IF(L144=15,Tot.Head!AE117)</f>
        <v>0</v>
      </c>
      <c r="AF144" s="106" t="b">
        <f>IF(L144=16,Tot.Head!AF117)</f>
        <v>0</v>
      </c>
      <c r="AG144" s="106" t="b">
        <f>IF(L144=17,Tot.Head!AG117)</f>
        <v>0</v>
      </c>
    </row>
    <row r="145" spans="12:35" x14ac:dyDescent="0.2">
      <c r="L145" s="87">
        <f t="shared" si="29"/>
        <v>4</v>
      </c>
      <c r="O145" s="99">
        <v>6</v>
      </c>
      <c r="P145" s="100" t="s">
        <v>117</v>
      </c>
      <c r="Q145" s="106" t="b">
        <f>IF(L145=1,Tot.Head!Q118)</f>
        <v>0</v>
      </c>
      <c r="R145" s="106" t="b">
        <f>IF(L145=2,Tot.Head!R118)</f>
        <v>0</v>
      </c>
      <c r="S145" s="106" t="b">
        <f>IF(L145=3,Tot.Head!S118)</f>
        <v>0</v>
      </c>
      <c r="T145" s="106">
        <f>IF(L145=4,Tot.Head!T118)</f>
        <v>140</v>
      </c>
      <c r="U145" s="106" t="b">
        <f>IF(L145=5,Tot.Head!U118)</f>
        <v>0</v>
      </c>
      <c r="V145" s="106" t="b">
        <f>IF(L145=6,Tot.Head!V118)</f>
        <v>0</v>
      </c>
      <c r="W145" s="106" t="b">
        <f>IF(L145=7,Tot.Head!W118)</f>
        <v>0</v>
      </c>
      <c r="X145" s="106" t="b">
        <f>IF(L145=8,Tot.Head!X118)</f>
        <v>0</v>
      </c>
      <c r="Y145" s="106" t="b">
        <f>IF(L145=9,Tot.Head!Y118)</f>
        <v>0</v>
      </c>
      <c r="Z145" s="106" t="b">
        <f>IF(L145=10,Tot.Head!Z118)</f>
        <v>0</v>
      </c>
      <c r="AA145" s="106" t="b">
        <f>IF(L145=11,Tot.Head!AA118)</f>
        <v>0</v>
      </c>
      <c r="AB145" s="106" t="b">
        <f>IF(L145=12,Tot.Head!AB118)</f>
        <v>0</v>
      </c>
      <c r="AC145" s="106" t="b">
        <f>IF(L145=13,Tot.Head!AC118)</f>
        <v>0</v>
      </c>
      <c r="AD145" s="106" t="b">
        <f>IF(L145=14,Tot.Head!AD118)</f>
        <v>0</v>
      </c>
      <c r="AE145" s="106" t="b">
        <f>IF(L145=15,Tot.Head!AE118)</f>
        <v>0</v>
      </c>
      <c r="AF145" s="106" t="b">
        <f>IF(L145=16,Tot.Head!AF118)</f>
        <v>0</v>
      </c>
      <c r="AG145" s="106" t="b">
        <f>IF(L145=17,Tot.Head!AG118)</f>
        <v>0</v>
      </c>
    </row>
    <row r="146" spans="12:35" x14ac:dyDescent="0.2">
      <c r="L146" s="87">
        <f t="shared" si="29"/>
        <v>4</v>
      </c>
      <c r="O146" s="99">
        <v>7</v>
      </c>
      <c r="P146" s="100" t="s">
        <v>116</v>
      </c>
      <c r="Q146" s="106" t="b">
        <f>IF(L146=1,Tot.Head!Q119)</f>
        <v>0</v>
      </c>
      <c r="R146" s="106" t="b">
        <f>IF(L146=2,Tot.Head!R119)</f>
        <v>0</v>
      </c>
      <c r="S146" s="106" t="b">
        <f>IF(L146=3,Tot.Head!S119)</f>
        <v>0</v>
      </c>
      <c r="T146" s="106">
        <f>IF(L146=4,Tot.Head!T119)</f>
        <v>145</v>
      </c>
      <c r="U146" s="106" t="b">
        <f>IF(L146=5,Tot.Head!U119)</f>
        <v>0</v>
      </c>
      <c r="V146" s="106" t="b">
        <f>IF(L146=6,Tot.Head!V119)</f>
        <v>0</v>
      </c>
      <c r="W146" s="106" t="b">
        <f>IF(L146=7,Tot.Head!W119)</f>
        <v>0</v>
      </c>
      <c r="X146" s="106" t="b">
        <f>IF(L146=8,Tot.Head!X119)</f>
        <v>0</v>
      </c>
      <c r="Y146" s="106" t="b">
        <f>IF(L146=9,Tot.Head!Y119)</f>
        <v>0</v>
      </c>
      <c r="Z146" s="106" t="b">
        <f>IF(L146=10,Tot.Head!Z119)</f>
        <v>0</v>
      </c>
      <c r="AA146" s="106" t="b">
        <f>IF(L146=11,Tot.Head!AA119)</f>
        <v>0</v>
      </c>
      <c r="AB146" s="106" t="b">
        <f>IF(L146=12,Tot.Head!AB119)</f>
        <v>0</v>
      </c>
      <c r="AC146" s="106" t="b">
        <f>IF(L146=13,Tot.Head!AC119)</f>
        <v>0</v>
      </c>
      <c r="AD146" s="106" t="b">
        <f>IF(L146=14,Tot.Head!AD119)</f>
        <v>0</v>
      </c>
      <c r="AE146" s="106" t="b">
        <f>IF(L146=15,Tot.Head!AE119)</f>
        <v>0</v>
      </c>
      <c r="AF146" s="106" t="b">
        <f>IF(L146=16,Tot.Head!AF119)</f>
        <v>0</v>
      </c>
      <c r="AG146" s="106" t="b">
        <f>IF(L146=17,Tot.Head!AG119)</f>
        <v>0</v>
      </c>
    </row>
    <row r="148" spans="12:35" x14ac:dyDescent="0.2">
      <c r="O148" s="99">
        <v>1</v>
      </c>
      <c r="P148" s="100" t="s">
        <v>94</v>
      </c>
      <c r="Q148" s="106" t="b">
        <f>IF('Newtonus.Calculator.T Head.Pipe'!$AR$23=1,Tot.Head!Q140)</f>
        <v>0</v>
      </c>
      <c r="R148" s="106" t="b">
        <f>IF('Newtonus.Calculator.T Head.Pipe'!$AR$23=1,Tot.Head!R140)</f>
        <v>0</v>
      </c>
      <c r="S148" s="106" t="b">
        <f>IF('Newtonus.Calculator.T Head.Pipe'!$AR$23=1,Tot.Head!S140)</f>
        <v>0</v>
      </c>
      <c r="T148" s="106" t="b">
        <f>IF('Newtonus.Calculator.T Head.Pipe'!$AR$23=1,Tot.Head!T140)</f>
        <v>0</v>
      </c>
      <c r="U148" s="106" t="b">
        <f>IF('Newtonus.Calculator.T Head.Pipe'!$AR$23=1,Tot.Head!U140)</f>
        <v>0</v>
      </c>
      <c r="V148" s="106" t="b">
        <f>IF('Newtonus.Calculator.T Head.Pipe'!$AR$23=1,Tot.Head!V140)</f>
        <v>0</v>
      </c>
      <c r="W148" s="106" t="b">
        <f>IF('Newtonus.Calculator.T Head.Pipe'!$AR$23=1,Tot.Head!W140)</f>
        <v>0</v>
      </c>
      <c r="X148" s="106" t="b">
        <f>IF('Newtonus.Calculator.T Head.Pipe'!$AR$23=1,Tot.Head!X140)</f>
        <v>0</v>
      </c>
      <c r="Y148" s="106" t="b">
        <f>IF('Newtonus.Calculator.T Head.Pipe'!$AR$23=1,Tot.Head!Y140)</f>
        <v>0</v>
      </c>
      <c r="Z148" s="106" t="b">
        <f>IF('Newtonus.Calculator.T Head.Pipe'!$AR$23=1,Tot.Head!Z140)</f>
        <v>0</v>
      </c>
      <c r="AA148" s="106" t="b">
        <f>IF('Newtonus.Calculator.T Head.Pipe'!$AR$23=1,Tot.Head!AA140)</f>
        <v>0</v>
      </c>
      <c r="AB148" s="106" t="b">
        <f>IF('Newtonus.Calculator.T Head.Pipe'!$AR$23=1,Tot.Head!AB140)</f>
        <v>0</v>
      </c>
      <c r="AC148" s="106" t="b">
        <f>IF('Newtonus.Calculator.T Head.Pipe'!$AR$23=1,Tot.Head!AC140)</f>
        <v>0</v>
      </c>
      <c r="AD148" s="106" t="b">
        <f>IF('Newtonus.Calculator.T Head.Pipe'!$AR$23=1,Tot.Head!AD140)</f>
        <v>0</v>
      </c>
      <c r="AE148" s="106" t="b">
        <f>IF('Newtonus.Calculator.T Head.Pipe'!$AR$23=1,Tot.Head!AE140)</f>
        <v>0</v>
      </c>
      <c r="AF148" s="106" t="b">
        <f>IF('Newtonus.Calculator.T Head.Pipe'!$AR$23=1,Tot.Head!AF140)</f>
        <v>0</v>
      </c>
      <c r="AG148" s="106" t="b">
        <f>IF('Newtonus.Calculator.T Head.Pipe'!$AR$23=1,Tot.Head!AG140)</f>
        <v>0</v>
      </c>
      <c r="AH148" s="104">
        <f>SUM(Q148:AG148)</f>
        <v>0</v>
      </c>
    </row>
    <row r="149" spans="12:35" x14ac:dyDescent="0.2">
      <c r="O149" s="99">
        <v>2</v>
      </c>
      <c r="P149" s="100" t="s">
        <v>103</v>
      </c>
      <c r="Q149" s="106" t="b">
        <f>IF('Newtonus.Calculator.T Head.Pipe'!$AR$23=2,Tot.Head!Q141)</f>
        <v>0</v>
      </c>
      <c r="R149" s="106" t="b">
        <f>IF('Newtonus.Calculator.T Head.Pipe'!$AR$23=2,Tot.Head!R141)</f>
        <v>0</v>
      </c>
      <c r="S149" s="106" t="b">
        <f>IF('Newtonus.Calculator.T Head.Pipe'!$AR$23=2,Tot.Head!S141)</f>
        <v>0</v>
      </c>
      <c r="T149" s="106" t="b">
        <f>IF('Newtonus.Calculator.T Head.Pipe'!$AR$23=2,Tot.Head!T141)</f>
        <v>0</v>
      </c>
      <c r="U149" s="106" t="b">
        <f>IF('Newtonus.Calculator.T Head.Pipe'!$AR$23=2,Tot.Head!U141)</f>
        <v>0</v>
      </c>
      <c r="V149" s="106" t="b">
        <f>IF('Newtonus.Calculator.T Head.Pipe'!$AR$23=2,Tot.Head!V141)</f>
        <v>0</v>
      </c>
      <c r="W149" s="106" t="b">
        <f>IF('Newtonus.Calculator.T Head.Pipe'!$AR$23=2,Tot.Head!W141)</f>
        <v>0</v>
      </c>
      <c r="X149" s="106" t="b">
        <f>IF('Newtonus.Calculator.T Head.Pipe'!$AR$23=2,Tot.Head!X141)</f>
        <v>0</v>
      </c>
      <c r="Y149" s="106" t="b">
        <f>IF('Newtonus.Calculator.T Head.Pipe'!$AR$23=2,Tot.Head!Y141)</f>
        <v>0</v>
      </c>
      <c r="Z149" s="106" t="b">
        <f>IF('Newtonus.Calculator.T Head.Pipe'!$AR$23=2,Tot.Head!Z141)</f>
        <v>0</v>
      </c>
      <c r="AA149" s="106" t="b">
        <f>IF('Newtonus.Calculator.T Head.Pipe'!$AR$23=2,Tot.Head!AA141)</f>
        <v>0</v>
      </c>
      <c r="AB149" s="106" t="b">
        <f>IF('Newtonus.Calculator.T Head.Pipe'!$AR$23=2,Tot.Head!AB141)</f>
        <v>0</v>
      </c>
      <c r="AC149" s="106" t="b">
        <f>IF('Newtonus.Calculator.T Head.Pipe'!$AR$23=2,Tot.Head!AC141)</f>
        <v>0</v>
      </c>
      <c r="AD149" s="106" t="b">
        <f>IF('Newtonus.Calculator.T Head.Pipe'!$AR$23=2,Tot.Head!AD141)</f>
        <v>0</v>
      </c>
      <c r="AE149" s="106" t="b">
        <f>IF('Newtonus.Calculator.T Head.Pipe'!$AR$23=2,Tot.Head!AE141)</f>
        <v>0</v>
      </c>
      <c r="AF149" s="106" t="b">
        <f>IF('Newtonus.Calculator.T Head.Pipe'!$AR$23=2,Tot.Head!AF141)</f>
        <v>0</v>
      </c>
      <c r="AG149" s="106" t="b">
        <f>IF('Newtonus.Calculator.T Head.Pipe'!$AR$23=2,Tot.Head!AG141)</f>
        <v>0</v>
      </c>
      <c r="AH149" s="104">
        <f t="shared" ref="AH149:AH154" si="30">SUM(Q149:AG149)</f>
        <v>0</v>
      </c>
    </row>
    <row r="150" spans="12:35" x14ac:dyDescent="0.2">
      <c r="O150" s="99">
        <v>3</v>
      </c>
      <c r="P150" s="100" t="s">
        <v>102</v>
      </c>
      <c r="Q150" s="106" t="b">
        <f>IF('Newtonus.Calculator.T Head.Pipe'!$AR$23=3,Tot.Head!Q142)</f>
        <v>0</v>
      </c>
      <c r="R150" s="106" t="b">
        <f>IF('Newtonus.Calculator.T Head.Pipe'!$AR$23=3,Tot.Head!R142)</f>
        <v>0</v>
      </c>
      <c r="S150" s="106" t="b">
        <f>IF('Newtonus.Calculator.T Head.Pipe'!$AR$23=3,Tot.Head!S142)</f>
        <v>0</v>
      </c>
      <c r="T150" s="106">
        <f>IF('Newtonus.Calculator.T Head.Pipe'!$AR$23=3,Tot.Head!T142)</f>
        <v>119</v>
      </c>
      <c r="U150" s="106" t="b">
        <f>IF('Newtonus.Calculator.T Head.Pipe'!$AR$23=3,Tot.Head!U142)</f>
        <v>0</v>
      </c>
      <c r="V150" s="106" t="b">
        <f>IF('Newtonus.Calculator.T Head.Pipe'!$AR$23=3,Tot.Head!V142)</f>
        <v>0</v>
      </c>
      <c r="W150" s="106" t="b">
        <f>IF('Newtonus.Calculator.T Head.Pipe'!$AR$23=3,Tot.Head!W142)</f>
        <v>0</v>
      </c>
      <c r="X150" s="106" t="b">
        <f>IF('Newtonus.Calculator.T Head.Pipe'!$AR$23=3,Tot.Head!X142)</f>
        <v>0</v>
      </c>
      <c r="Y150" s="106" t="b">
        <f>IF('Newtonus.Calculator.T Head.Pipe'!$AR$23=3,Tot.Head!Y142)</f>
        <v>0</v>
      </c>
      <c r="Z150" s="106" t="b">
        <f>IF('Newtonus.Calculator.T Head.Pipe'!$AR$23=3,Tot.Head!Z142)</f>
        <v>0</v>
      </c>
      <c r="AA150" s="106" t="b">
        <f>IF('Newtonus.Calculator.T Head.Pipe'!$AR$23=3,Tot.Head!AA142)</f>
        <v>0</v>
      </c>
      <c r="AB150" s="106" t="b">
        <f>IF('Newtonus.Calculator.T Head.Pipe'!$AR$23=3,Tot.Head!AB142)</f>
        <v>0</v>
      </c>
      <c r="AC150" s="106" t="b">
        <f>IF('Newtonus.Calculator.T Head.Pipe'!$AR$23=3,Tot.Head!AC142)</f>
        <v>0</v>
      </c>
      <c r="AD150" s="106" t="b">
        <f>IF('Newtonus.Calculator.T Head.Pipe'!$AR$23=3,Tot.Head!AD142)</f>
        <v>0</v>
      </c>
      <c r="AE150" s="106" t="b">
        <f>IF('Newtonus.Calculator.T Head.Pipe'!$AR$23=3,Tot.Head!AE142)</f>
        <v>0</v>
      </c>
      <c r="AF150" s="106" t="b">
        <f>IF('Newtonus.Calculator.T Head.Pipe'!$AR$23=3,Tot.Head!AF142)</f>
        <v>0</v>
      </c>
      <c r="AG150" s="106" t="b">
        <f>IF('Newtonus.Calculator.T Head.Pipe'!$AR$23=3,Tot.Head!AG142)</f>
        <v>0</v>
      </c>
      <c r="AH150" s="104">
        <f t="shared" si="30"/>
        <v>119</v>
      </c>
    </row>
    <row r="151" spans="12:35" x14ac:dyDescent="0.2">
      <c r="O151" s="99">
        <v>4</v>
      </c>
      <c r="P151" s="87" t="s">
        <v>95</v>
      </c>
      <c r="Q151" s="106" t="b">
        <f>IF('Newtonus.Calculator.T Head.Pipe'!$AR$23=4,Tot.Head!Q143)</f>
        <v>0</v>
      </c>
      <c r="R151" s="106" t="b">
        <f>IF('Newtonus.Calculator.T Head.Pipe'!$AR$23=4,Tot.Head!R143)</f>
        <v>0</v>
      </c>
      <c r="S151" s="106" t="b">
        <f>IF('Newtonus.Calculator.T Head.Pipe'!$AR$23=4,Tot.Head!S143)</f>
        <v>0</v>
      </c>
      <c r="T151" s="106" t="b">
        <f>IF('Newtonus.Calculator.T Head.Pipe'!$AR$23=4,Tot.Head!T143)</f>
        <v>0</v>
      </c>
      <c r="U151" s="106" t="b">
        <f>IF('Newtonus.Calculator.T Head.Pipe'!$AR$23=4,Tot.Head!U143)</f>
        <v>0</v>
      </c>
      <c r="V151" s="106" t="b">
        <f>IF('Newtonus.Calculator.T Head.Pipe'!$AR$23=4,Tot.Head!V143)</f>
        <v>0</v>
      </c>
      <c r="W151" s="106" t="b">
        <f>IF('Newtonus.Calculator.T Head.Pipe'!$AR$23=4,Tot.Head!W143)</f>
        <v>0</v>
      </c>
      <c r="X151" s="106" t="b">
        <f>IF('Newtonus.Calculator.T Head.Pipe'!$AR$23=4,Tot.Head!X143)</f>
        <v>0</v>
      </c>
      <c r="Y151" s="106" t="b">
        <f>IF('Newtonus.Calculator.T Head.Pipe'!$AR$23=4,Tot.Head!Y143)</f>
        <v>0</v>
      </c>
      <c r="Z151" s="106" t="b">
        <f>IF('Newtonus.Calculator.T Head.Pipe'!$AR$23=4,Tot.Head!Z143)</f>
        <v>0</v>
      </c>
      <c r="AA151" s="106" t="b">
        <f>IF('Newtonus.Calculator.T Head.Pipe'!$AR$23=4,Tot.Head!AA143)</f>
        <v>0</v>
      </c>
      <c r="AB151" s="106" t="b">
        <f>IF('Newtonus.Calculator.T Head.Pipe'!$AR$23=4,Tot.Head!AB143)</f>
        <v>0</v>
      </c>
      <c r="AC151" s="106" t="b">
        <f>IF('Newtonus.Calculator.T Head.Pipe'!$AR$23=4,Tot.Head!AC143)</f>
        <v>0</v>
      </c>
      <c r="AD151" s="106" t="b">
        <f>IF('Newtonus.Calculator.T Head.Pipe'!$AR$23=4,Tot.Head!AD143)</f>
        <v>0</v>
      </c>
      <c r="AE151" s="106" t="b">
        <f>IF('Newtonus.Calculator.T Head.Pipe'!$AR$23=4,Tot.Head!AE143)</f>
        <v>0</v>
      </c>
      <c r="AF151" s="106" t="b">
        <f>IF('Newtonus.Calculator.T Head.Pipe'!$AR$23=4,Tot.Head!AF143)</f>
        <v>0</v>
      </c>
      <c r="AG151" s="106" t="b">
        <f>IF('Newtonus.Calculator.T Head.Pipe'!$AR$23=4,Tot.Head!AG143)</f>
        <v>0</v>
      </c>
      <c r="AH151" s="104">
        <f t="shared" si="30"/>
        <v>0</v>
      </c>
    </row>
    <row r="152" spans="12:35" x14ac:dyDescent="0.2">
      <c r="O152" s="99">
        <v>5</v>
      </c>
      <c r="P152" s="100" t="s">
        <v>96</v>
      </c>
      <c r="Q152" s="106" t="b">
        <f>IF('Newtonus.Calculator.T Head.Pipe'!$AR$23=5,Tot.Head!Q144)</f>
        <v>0</v>
      </c>
      <c r="R152" s="106" t="b">
        <f>IF('Newtonus.Calculator.T Head.Pipe'!$AR$23=5,Tot.Head!R144)</f>
        <v>0</v>
      </c>
      <c r="S152" s="106" t="b">
        <f>IF('Newtonus.Calculator.T Head.Pipe'!$AR$23=5,Tot.Head!S144)</f>
        <v>0</v>
      </c>
      <c r="T152" s="106" t="b">
        <f>IF('Newtonus.Calculator.T Head.Pipe'!$AR$23=5,Tot.Head!T144)</f>
        <v>0</v>
      </c>
      <c r="U152" s="106" t="b">
        <f>IF('Newtonus.Calculator.T Head.Pipe'!$AR$23=5,Tot.Head!U144)</f>
        <v>0</v>
      </c>
      <c r="V152" s="106" t="b">
        <f>IF('Newtonus.Calculator.T Head.Pipe'!$AR$23=5,Tot.Head!V144)</f>
        <v>0</v>
      </c>
      <c r="W152" s="106" t="b">
        <f>IF('Newtonus.Calculator.T Head.Pipe'!$AR$23=5,Tot.Head!W144)</f>
        <v>0</v>
      </c>
      <c r="X152" s="106" t="b">
        <f>IF('Newtonus.Calculator.T Head.Pipe'!$AR$23=5,Tot.Head!X144)</f>
        <v>0</v>
      </c>
      <c r="Y152" s="106" t="b">
        <f>IF('Newtonus.Calculator.T Head.Pipe'!$AR$23=5,Tot.Head!Y144)</f>
        <v>0</v>
      </c>
      <c r="Z152" s="106" t="b">
        <f>IF('Newtonus.Calculator.T Head.Pipe'!$AR$23=5,Tot.Head!Z144)</f>
        <v>0</v>
      </c>
      <c r="AA152" s="106" t="b">
        <f>IF('Newtonus.Calculator.T Head.Pipe'!$AR$23=5,Tot.Head!AA144)</f>
        <v>0</v>
      </c>
      <c r="AB152" s="106" t="b">
        <f>IF('Newtonus.Calculator.T Head.Pipe'!$AR$23=5,Tot.Head!AB144)</f>
        <v>0</v>
      </c>
      <c r="AC152" s="106" t="b">
        <f>IF('Newtonus.Calculator.T Head.Pipe'!$AR$23=5,Tot.Head!AC144)</f>
        <v>0</v>
      </c>
      <c r="AD152" s="106" t="b">
        <f>IF('Newtonus.Calculator.T Head.Pipe'!$AR$23=5,Tot.Head!AD144)</f>
        <v>0</v>
      </c>
      <c r="AE152" s="106" t="b">
        <f>IF('Newtonus.Calculator.T Head.Pipe'!$AR$23=5,Tot.Head!AE144)</f>
        <v>0</v>
      </c>
      <c r="AF152" s="106" t="b">
        <f>IF('Newtonus.Calculator.T Head.Pipe'!$AR$23=5,Tot.Head!AF144)</f>
        <v>0</v>
      </c>
      <c r="AG152" s="106" t="b">
        <f>IF('Newtonus.Calculator.T Head.Pipe'!$AR$23=5,Tot.Head!AG144)</f>
        <v>0</v>
      </c>
      <c r="AH152" s="104">
        <f t="shared" si="30"/>
        <v>0</v>
      </c>
    </row>
    <row r="153" spans="12:35" x14ac:dyDescent="0.2">
      <c r="O153" s="99">
        <v>6</v>
      </c>
      <c r="P153" s="100" t="s">
        <v>117</v>
      </c>
      <c r="Q153" s="106" t="b">
        <f>IF('Newtonus.Calculator.T Head.Pipe'!$AR$23=6,Tot.Head!Q145)</f>
        <v>0</v>
      </c>
      <c r="R153" s="106" t="b">
        <f>IF('Newtonus.Calculator.T Head.Pipe'!$AR$23=6,Tot.Head!R145)</f>
        <v>0</v>
      </c>
      <c r="S153" s="106" t="b">
        <f>IF('Newtonus.Calculator.T Head.Pipe'!$AR$23=6,Tot.Head!S145)</f>
        <v>0</v>
      </c>
      <c r="T153" s="106" t="b">
        <f>IF('Newtonus.Calculator.T Head.Pipe'!$AR$23=6,Tot.Head!T145)</f>
        <v>0</v>
      </c>
      <c r="U153" s="106" t="b">
        <f>IF('Newtonus.Calculator.T Head.Pipe'!$AR$23=6,Tot.Head!U145)</f>
        <v>0</v>
      </c>
      <c r="V153" s="106" t="b">
        <f>IF('Newtonus.Calculator.T Head.Pipe'!$AR$23=6,Tot.Head!V145)</f>
        <v>0</v>
      </c>
      <c r="W153" s="106" t="b">
        <f>IF('Newtonus.Calculator.T Head.Pipe'!$AR$23=6,Tot.Head!W145)</f>
        <v>0</v>
      </c>
      <c r="X153" s="106" t="b">
        <f>IF('Newtonus.Calculator.T Head.Pipe'!$AR$23=6,Tot.Head!X145)</f>
        <v>0</v>
      </c>
      <c r="Y153" s="106" t="b">
        <f>IF('Newtonus.Calculator.T Head.Pipe'!$AR$23=6,Tot.Head!Y145)</f>
        <v>0</v>
      </c>
      <c r="Z153" s="106" t="b">
        <f>IF('Newtonus.Calculator.T Head.Pipe'!$AR$23=6,Tot.Head!Z145)</f>
        <v>0</v>
      </c>
      <c r="AA153" s="106" t="b">
        <f>IF('Newtonus.Calculator.T Head.Pipe'!$AR$23=6,Tot.Head!AA145)</f>
        <v>0</v>
      </c>
      <c r="AB153" s="106" t="b">
        <f>IF('Newtonus.Calculator.T Head.Pipe'!$AR$23=6,Tot.Head!AB145)</f>
        <v>0</v>
      </c>
      <c r="AC153" s="106" t="b">
        <f>IF('Newtonus.Calculator.T Head.Pipe'!$AR$23=6,Tot.Head!AC145)</f>
        <v>0</v>
      </c>
      <c r="AD153" s="106" t="b">
        <f>IF('Newtonus.Calculator.T Head.Pipe'!$AR$23=6,Tot.Head!AD145)</f>
        <v>0</v>
      </c>
      <c r="AE153" s="106" t="b">
        <f>IF('Newtonus.Calculator.T Head.Pipe'!$AR$23=6,Tot.Head!AE145)</f>
        <v>0</v>
      </c>
      <c r="AF153" s="106" t="b">
        <f>IF('Newtonus.Calculator.T Head.Pipe'!$AR$23=6,Tot.Head!AF145)</f>
        <v>0</v>
      </c>
      <c r="AG153" s="106" t="b">
        <f>IF('Newtonus.Calculator.T Head.Pipe'!$AR$23=6,Tot.Head!AG145)</f>
        <v>0</v>
      </c>
      <c r="AH153" s="104">
        <f t="shared" si="30"/>
        <v>0</v>
      </c>
    </row>
    <row r="154" spans="12:35" x14ac:dyDescent="0.2">
      <c r="O154" s="99">
        <v>7</v>
      </c>
      <c r="P154" s="100" t="s">
        <v>116</v>
      </c>
      <c r="Q154" s="106" t="b">
        <f>IF('Newtonus.Calculator.T Head.Pipe'!$AR$23=7,Tot.Head!Q146)</f>
        <v>0</v>
      </c>
      <c r="R154" s="106" t="b">
        <f>IF('Newtonus.Calculator.T Head.Pipe'!$AR$23=7,Tot.Head!R146)</f>
        <v>0</v>
      </c>
      <c r="S154" s="106" t="b">
        <f>IF('Newtonus.Calculator.T Head.Pipe'!$AR$23=7,Tot.Head!S146)</f>
        <v>0</v>
      </c>
      <c r="T154" s="106" t="b">
        <f>IF('Newtonus.Calculator.T Head.Pipe'!$AR$23=7,Tot.Head!T146)</f>
        <v>0</v>
      </c>
      <c r="U154" s="106" t="b">
        <f>IF('Newtonus.Calculator.T Head.Pipe'!$AR$23=7,Tot.Head!U146)</f>
        <v>0</v>
      </c>
      <c r="V154" s="106" t="b">
        <f>IF('Newtonus.Calculator.T Head.Pipe'!$AR$23=7,Tot.Head!V146)</f>
        <v>0</v>
      </c>
      <c r="W154" s="106" t="b">
        <f>IF('Newtonus.Calculator.T Head.Pipe'!$AR$23=7,Tot.Head!W146)</f>
        <v>0</v>
      </c>
      <c r="X154" s="106" t="b">
        <f>IF('Newtonus.Calculator.T Head.Pipe'!$AR$23=7,Tot.Head!X146)</f>
        <v>0</v>
      </c>
      <c r="Y154" s="106" t="b">
        <f>IF('Newtonus.Calculator.T Head.Pipe'!$AR$23=7,Tot.Head!Y146)</f>
        <v>0</v>
      </c>
      <c r="Z154" s="106" t="b">
        <f>IF('Newtonus.Calculator.T Head.Pipe'!$AR$23=7,Tot.Head!Z146)</f>
        <v>0</v>
      </c>
      <c r="AA154" s="106" t="b">
        <f>IF('Newtonus.Calculator.T Head.Pipe'!$AR$23=7,Tot.Head!AA146)</f>
        <v>0</v>
      </c>
      <c r="AB154" s="106" t="b">
        <f>IF('Newtonus.Calculator.T Head.Pipe'!$AR$23=7,Tot.Head!AB146)</f>
        <v>0</v>
      </c>
      <c r="AC154" s="106" t="b">
        <f>IF('Newtonus.Calculator.T Head.Pipe'!$AR$23=7,Tot.Head!AC146)</f>
        <v>0</v>
      </c>
      <c r="AD154" s="106" t="b">
        <f>IF('Newtonus.Calculator.T Head.Pipe'!$AR$23=7,Tot.Head!AD146)</f>
        <v>0</v>
      </c>
      <c r="AE154" s="106" t="b">
        <f>IF('Newtonus.Calculator.T Head.Pipe'!$AR$23=7,Tot.Head!AE146)</f>
        <v>0</v>
      </c>
      <c r="AF154" s="106" t="b">
        <f>IF('Newtonus.Calculator.T Head.Pipe'!$AR$23=7,Tot.Head!AF146)</f>
        <v>0</v>
      </c>
      <c r="AG154" s="106" t="b">
        <f>IF('Newtonus.Calculator.T Head.Pipe'!$AR$23=7,Tot.Head!AG146)</f>
        <v>0</v>
      </c>
      <c r="AH154" s="104">
        <f t="shared" si="30"/>
        <v>0</v>
      </c>
    </row>
    <row r="155" spans="12:35" x14ac:dyDescent="0.2">
      <c r="AH155" s="104"/>
    </row>
    <row r="156" spans="12:35" x14ac:dyDescent="0.2">
      <c r="AH156" s="104">
        <f>SUM(AH148:AH154)</f>
        <v>119</v>
      </c>
      <c r="AI156" s="87" t="s">
        <v>115</v>
      </c>
    </row>
    <row r="158" spans="12:35" x14ac:dyDescent="0.2">
      <c r="O158" s="131" t="s">
        <v>121</v>
      </c>
      <c r="P158" s="131"/>
    </row>
    <row r="159" spans="12:35" x14ac:dyDescent="0.2">
      <c r="L159" s="87">
        <f>$L$202</f>
        <v>4</v>
      </c>
      <c r="O159" s="99">
        <v>1</v>
      </c>
      <c r="P159" s="100" t="s">
        <v>94</v>
      </c>
      <c r="Q159" s="106" t="b">
        <f>IF(L159=1,Tot.Head!Q113)</f>
        <v>0</v>
      </c>
      <c r="R159" s="106" t="b">
        <f>IF(L159=2,Tot.Head!R113)</f>
        <v>0</v>
      </c>
      <c r="S159" s="106" t="b">
        <f>IF(L159=3,Tot.Head!S113)</f>
        <v>0</v>
      </c>
      <c r="T159" s="106">
        <f>IF(L159=4,Tot.Head!T113)</f>
        <v>142</v>
      </c>
      <c r="U159" s="106" t="b">
        <f>IF(L159=5,Tot.Head!U113)</f>
        <v>0</v>
      </c>
      <c r="V159" s="106" t="b">
        <f>IF(L159=6,Tot.Head!V113)</f>
        <v>0</v>
      </c>
      <c r="W159" s="106" t="b">
        <f>IF(L159=7,Tot.Head!W113)</f>
        <v>0</v>
      </c>
      <c r="X159" s="106" t="b">
        <f>IF(L159=8,Tot.Head!X113)</f>
        <v>0</v>
      </c>
      <c r="Y159" s="106" t="b">
        <f>IF(L159=9,Tot.Head!Y113)</f>
        <v>0</v>
      </c>
      <c r="Z159" s="106" t="b">
        <f>IF(L159=10,Tot.Head!Z113)</f>
        <v>0</v>
      </c>
      <c r="AA159" s="106" t="b">
        <f>IF(L159=11,Tot.Head!AA113)</f>
        <v>0</v>
      </c>
      <c r="AB159" s="106" t="b">
        <f>IF(L159=12,Tot.Head!AB113)</f>
        <v>0</v>
      </c>
      <c r="AC159" s="106" t="b">
        <f>IF(L159=13,Tot.Head!AC113)</f>
        <v>0</v>
      </c>
      <c r="AD159" s="106" t="b">
        <f>IF(L159=14,Tot.Head!AD113)</f>
        <v>0</v>
      </c>
      <c r="AE159" s="106" t="b">
        <f>IF(L159=15,Tot.Head!AE113)</f>
        <v>0</v>
      </c>
      <c r="AF159" s="106" t="b">
        <f>IF(L159=16,Tot.Head!AF113)</f>
        <v>0</v>
      </c>
      <c r="AG159" s="106" t="b">
        <f>IF(L159=17,Tot.Head!AG113)</f>
        <v>0</v>
      </c>
    </row>
    <row r="160" spans="12:35" x14ac:dyDescent="0.2">
      <c r="L160" s="87">
        <f t="shared" ref="L160:L165" si="31">$L$202</f>
        <v>4</v>
      </c>
      <c r="O160" s="99">
        <v>2</v>
      </c>
      <c r="P160" s="100" t="s">
        <v>103</v>
      </c>
      <c r="Q160" s="106" t="b">
        <f>IF(L160=1,Tot.Head!Q114)</f>
        <v>0</v>
      </c>
      <c r="R160" s="106" t="b">
        <f>IF(L160=2,Tot.Head!R114)</f>
        <v>0</v>
      </c>
      <c r="S160" s="106" t="b">
        <f>IF(L160=3,Tot.Head!S114)</f>
        <v>0</v>
      </c>
      <c r="T160" s="106">
        <f>IF(L160=4,Tot.Head!T114)</f>
        <v>133</v>
      </c>
      <c r="U160" s="106" t="b">
        <f>IF(L160=5,Tot.Head!U114)</f>
        <v>0</v>
      </c>
      <c r="V160" s="106" t="b">
        <f>IF(L160=6,Tot.Head!V114)</f>
        <v>0</v>
      </c>
      <c r="W160" s="106" t="b">
        <f>IF(L160=7,Tot.Head!W114)</f>
        <v>0</v>
      </c>
      <c r="X160" s="106" t="b">
        <f>IF(L160=8,Tot.Head!X114)</f>
        <v>0</v>
      </c>
      <c r="Y160" s="106" t="b">
        <f>IF(L160=9,Tot.Head!Y114)</f>
        <v>0</v>
      </c>
      <c r="Z160" s="106" t="b">
        <f>IF(L160=10,Tot.Head!Z114)</f>
        <v>0</v>
      </c>
      <c r="AA160" s="106" t="b">
        <f>IF(L160=11,Tot.Head!AA114)</f>
        <v>0</v>
      </c>
      <c r="AB160" s="106" t="b">
        <f>IF(L160=12,Tot.Head!AB114)</f>
        <v>0</v>
      </c>
      <c r="AC160" s="106" t="b">
        <f>IF(L160=13,Tot.Head!AC114)</f>
        <v>0</v>
      </c>
      <c r="AD160" s="106" t="b">
        <f>IF(L160=14,Tot.Head!AD114)</f>
        <v>0</v>
      </c>
      <c r="AE160" s="106" t="b">
        <f>IF(L160=15,Tot.Head!AE114)</f>
        <v>0</v>
      </c>
      <c r="AF160" s="106" t="b">
        <f>IF(L160=16,Tot.Head!AF114)</f>
        <v>0</v>
      </c>
      <c r="AG160" s="106" t="b">
        <f>IF(L160=17,Tot.Head!AG114)</f>
        <v>0</v>
      </c>
    </row>
    <row r="161" spans="12:35" x14ac:dyDescent="0.2">
      <c r="L161" s="87">
        <f t="shared" si="31"/>
        <v>4</v>
      </c>
      <c r="O161" s="99">
        <v>3</v>
      </c>
      <c r="P161" s="100" t="s">
        <v>102</v>
      </c>
      <c r="Q161" s="106" t="b">
        <f>IF(L161=1,Tot.Head!Q115)</f>
        <v>0</v>
      </c>
      <c r="R161" s="106" t="b">
        <f>IF(L161=2,Tot.Head!R115)</f>
        <v>0</v>
      </c>
      <c r="S161" s="106" t="b">
        <f>IF(L161=3,Tot.Head!S115)</f>
        <v>0</v>
      </c>
      <c r="T161" s="106">
        <f>IF(L161=4,Tot.Head!T115)</f>
        <v>119</v>
      </c>
      <c r="U161" s="106" t="b">
        <f>IF(L161=5,Tot.Head!U115)</f>
        <v>0</v>
      </c>
      <c r="V161" s="106" t="b">
        <f>IF(L161=6,Tot.Head!V115)</f>
        <v>0</v>
      </c>
      <c r="W161" s="106" t="b">
        <f>IF(L161=7,Tot.Head!W115)</f>
        <v>0</v>
      </c>
      <c r="X161" s="106" t="b">
        <f>IF(L161=8,Tot.Head!X115)</f>
        <v>0</v>
      </c>
      <c r="Y161" s="106" t="b">
        <f>IF(L161=9,Tot.Head!Y115)</f>
        <v>0</v>
      </c>
      <c r="Z161" s="106" t="b">
        <f>IF(L161=10,Tot.Head!Z115)</f>
        <v>0</v>
      </c>
      <c r="AA161" s="106" t="b">
        <f>IF(L161=11,Tot.Head!AA115)</f>
        <v>0</v>
      </c>
      <c r="AB161" s="106" t="b">
        <f>IF(L161=12,Tot.Head!AB115)</f>
        <v>0</v>
      </c>
      <c r="AC161" s="106" t="b">
        <f>IF(L161=13,Tot.Head!AC115)</f>
        <v>0</v>
      </c>
      <c r="AD161" s="106" t="b">
        <f>IF(L161=14,Tot.Head!AD115)</f>
        <v>0</v>
      </c>
      <c r="AE161" s="106" t="b">
        <f>IF(L161=15,Tot.Head!AE115)</f>
        <v>0</v>
      </c>
      <c r="AF161" s="106" t="b">
        <f>IF(L161=16,Tot.Head!AF115)</f>
        <v>0</v>
      </c>
      <c r="AG161" s="106" t="b">
        <f>IF(L161=17,Tot.Head!AG115)</f>
        <v>0</v>
      </c>
    </row>
    <row r="162" spans="12:35" x14ac:dyDescent="0.2">
      <c r="L162" s="87">
        <f t="shared" si="31"/>
        <v>4</v>
      </c>
      <c r="O162" s="99">
        <v>4</v>
      </c>
      <c r="P162" s="87" t="s">
        <v>95</v>
      </c>
      <c r="Q162" s="106" t="b">
        <f>IF(L162=1,Tot.Head!Q116)</f>
        <v>0</v>
      </c>
      <c r="R162" s="106" t="b">
        <f>IF(L162=2,Tot.Head!R116)</f>
        <v>0</v>
      </c>
      <c r="S162" s="106" t="b">
        <f>IF(L162=3,Tot.Head!S116)</f>
        <v>0</v>
      </c>
      <c r="T162" s="106">
        <f>IF(L162=4,Tot.Head!T116)</f>
        <v>142</v>
      </c>
      <c r="U162" s="106" t="b">
        <f>IF(L162=5,Tot.Head!U116)</f>
        <v>0</v>
      </c>
      <c r="V162" s="106" t="b">
        <f>IF(L162=6,Tot.Head!V116)</f>
        <v>0</v>
      </c>
      <c r="W162" s="106" t="b">
        <f>IF(L162=7,Tot.Head!W116)</f>
        <v>0</v>
      </c>
      <c r="X162" s="106" t="b">
        <f>IF(L162=8,Tot.Head!X116)</f>
        <v>0</v>
      </c>
      <c r="Y162" s="106" t="b">
        <f>IF(L162=9,Tot.Head!Y116)</f>
        <v>0</v>
      </c>
      <c r="Z162" s="106" t="b">
        <f>IF(L162=10,Tot.Head!Z116)</f>
        <v>0</v>
      </c>
      <c r="AA162" s="106" t="b">
        <f>IF(L162=11,Tot.Head!AA116)</f>
        <v>0</v>
      </c>
      <c r="AB162" s="106" t="b">
        <f>IF(L162=12,Tot.Head!AB116)</f>
        <v>0</v>
      </c>
      <c r="AC162" s="106" t="b">
        <f>IF(L162=13,Tot.Head!AC116)</f>
        <v>0</v>
      </c>
      <c r="AD162" s="106" t="b">
        <f>IF(L162=14,Tot.Head!AD116)</f>
        <v>0</v>
      </c>
      <c r="AE162" s="106" t="b">
        <f>IF(L162=15,Tot.Head!AE116)</f>
        <v>0</v>
      </c>
      <c r="AF162" s="106" t="b">
        <f>IF(L162=16,Tot.Head!AF116)</f>
        <v>0</v>
      </c>
      <c r="AG162" s="106" t="b">
        <f>IF(L162=17,Tot.Head!AG116)</f>
        <v>0</v>
      </c>
    </row>
    <row r="163" spans="12:35" x14ac:dyDescent="0.2">
      <c r="L163" s="87">
        <f t="shared" si="31"/>
        <v>4</v>
      </c>
      <c r="O163" s="99">
        <v>5</v>
      </c>
      <c r="P163" s="100" t="s">
        <v>96</v>
      </c>
      <c r="Q163" s="106" t="b">
        <f>IF(L163=1,Tot.Head!Q117)</f>
        <v>0</v>
      </c>
      <c r="R163" s="106" t="b">
        <f>IF(L163=2,Tot.Head!R117)</f>
        <v>0</v>
      </c>
      <c r="S163" s="106" t="b">
        <f>IF(L163=3,Tot.Head!S117)</f>
        <v>0</v>
      </c>
      <c r="T163" s="106">
        <f>IF(L163=4,Tot.Head!T117)</f>
        <v>118</v>
      </c>
      <c r="U163" s="106" t="b">
        <f>IF(L163=5,Tot.Head!U117)</f>
        <v>0</v>
      </c>
      <c r="V163" s="106" t="b">
        <f>IF(L163=6,Tot.Head!V117)</f>
        <v>0</v>
      </c>
      <c r="W163" s="106" t="b">
        <f>IF(L163=7,Tot.Head!W117)</f>
        <v>0</v>
      </c>
      <c r="X163" s="106" t="b">
        <f>IF(L163=8,Tot.Head!X117)</f>
        <v>0</v>
      </c>
      <c r="Y163" s="106" t="b">
        <f>IF(L163=9,Tot.Head!Y117)</f>
        <v>0</v>
      </c>
      <c r="Z163" s="106" t="b">
        <f>IF(L163=10,Tot.Head!Z117)</f>
        <v>0</v>
      </c>
      <c r="AA163" s="106" t="b">
        <f>IF(L163=11,Tot.Head!AA117)</f>
        <v>0</v>
      </c>
      <c r="AB163" s="106" t="b">
        <f>IF(L163=12,Tot.Head!AB117)</f>
        <v>0</v>
      </c>
      <c r="AC163" s="106" t="b">
        <f>IF(L163=13,Tot.Head!AC117)</f>
        <v>0</v>
      </c>
      <c r="AD163" s="106" t="b">
        <f>IF(L163=14,Tot.Head!AD117)</f>
        <v>0</v>
      </c>
      <c r="AE163" s="106" t="b">
        <f>IF(L163=15,Tot.Head!AE117)</f>
        <v>0</v>
      </c>
      <c r="AF163" s="106" t="b">
        <f>IF(L163=16,Tot.Head!AF117)</f>
        <v>0</v>
      </c>
      <c r="AG163" s="106" t="b">
        <f>IF(L163=17,Tot.Head!AG117)</f>
        <v>0</v>
      </c>
    </row>
    <row r="164" spans="12:35" x14ac:dyDescent="0.2">
      <c r="L164" s="87">
        <f t="shared" si="31"/>
        <v>4</v>
      </c>
      <c r="O164" s="99">
        <v>6</v>
      </c>
      <c r="P164" s="100" t="s">
        <v>117</v>
      </c>
      <c r="Q164" s="106" t="b">
        <f>IF(L164=1,Tot.Head!Q118)</f>
        <v>0</v>
      </c>
      <c r="R164" s="106" t="b">
        <f>IF(L164=2,Tot.Head!R118)</f>
        <v>0</v>
      </c>
      <c r="S164" s="106" t="b">
        <f>IF(L164=3,Tot.Head!S118)</f>
        <v>0</v>
      </c>
      <c r="T164" s="106">
        <f>IF(L164=4,Tot.Head!T118)</f>
        <v>140</v>
      </c>
      <c r="U164" s="106" t="b">
        <f>IF(L164=5,Tot.Head!U118)</f>
        <v>0</v>
      </c>
      <c r="V164" s="106" t="b">
        <f>IF(L164=6,Tot.Head!V118)</f>
        <v>0</v>
      </c>
      <c r="W164" s="106" t="b">
        <f>IF(L164=7,Tot.Head!W118)</f>
        <v>0</v>
      </c>
      <c r="X164" s="106" t="b">
        <f>IF(L164=8,Tot.Head!X118)</f>
        <v>0</v>
      </c>
      <c r="Y164" s="106" t="b">
        <f>IF(L164=9,Tot.Head!Y118)</f>
        <v>0</v>
      </c>
      <c r="Z164" s="106" t="b">
        <f>IF(L164=10,Tot.Head!Z118)</f>
        <v>0</v>
      </c>
      <c r="AA164" s="106" t="b">
        <f>IF(L164=11,Tot.Head!AA118)</f>
        <v>0</v>
      </c>
      <c r="AB164" s="106" t="b">
        <f>IF(L164=12,Tot.Head!AB118)</f>
        <v>0</v>
      </c>
      <c r="AC164" s="106" t="b">
        <f>IF(L164=13,Tot.Head!AC118)</f>
        <v>0</v>
      </c>
      <c r="AD164" s="106" t="b">
        <f>IF(L164=14,Tot.Head!AD118)</f>
        <v>0</v>
      </c>
      <c r="AE164" s="106" t="b">
        <f>IF(L164=15,Tot.Head!AE118)</f>
        <v>0</v>
      </c>
      <c r="AF164" s="106" t="b">
        <f>IF(L164=16,Tot.Head!AF118)</f>
        <v>0</v>
      </c>
      <c r="AG164" s="106" t="b">
        <f>IF(L164=17,Tot.Head!AG118)</f>
        <v>0</v>
      </c>
    </row>
    <row r="165" spans="12:35" x14ac:dyDescent="0.2">
      <c r="L165" s="87">
        <f t="shared" si="31"/>
        <v>4</v>
      </c>
      <c r="O165" s="99">
        <v>7</v>
      </c>
      <c r="P165" s="100" t="s">
        <v>116</v>
      </c>
      <c r="Q165" s="106" t="b">
        <f>IF(L165=1,Tot.Head!Q119)</f>
        <v>0</v>
      </c>
      <c r="R165" s="106" t="b">
        <f>IF(L165=2,Tot.Head!R119)</f>
        <v>0</v>
      </c>
      <c r="S165" s="106" t="b">
        <f>IF(L165=3,Tot.Head!S119)</f>
        <v>0</v>
      </c>
      <c r="T165" s="106">
        <f>IF(L165=4,Tot.Head!T119)</f>
        <v>145</v>
      </c>
      <c r="U165" s="106" t="b">
        <f>IF(L165=5,Tot.Head!U119)</f>
        <v>0</v>
      </c>
      <c r="V165" s="106" t="b">
        <f>IF(L165=6,Tot.Head!V119)</f>
        <v>0</v>
      </c>
      <c r="W165" s="106" t="b">
        <f>IF(L165=7,Tot.Head!W119)</f>
        <v>0</v>
      </c>
      <c r="X165" s="106" t="b">
        <f>IF(L165=8,Tot.Head!X119)</f>
        <v>0</v>
      </c>
      <c r="Y165" s="106" t="b">
        <f>IF(L165=9,Tot.Head!Y119)</f>
        <v>0</v>
      </c>
      <c r="Z165" s="106" t="b">
        <f>IF(L165=10,Tot.Head!Z119)</f>
        <v>0</v>
      </c>
      <c r="AA165" s="106" t="b">
        <f>IF(L165=11,Tot.Head!AA119)</f>
        <v>0</v>
      </c>
      <c r="AB165" s="106" t="b">
        <f>IF(L165=12,Tot.Head!AB119)</f>
        <v>0</v>
      </c>
      <c r="AC165" s="106" t="b">
        <f>IF(L165=13,Tot.Head!AC119)</f>
        <v>0</v>
      </c>
      <c r="AD165" s="106" t="b">
        <f>IF(L165=14,Tot.Head!AD119)</f>
        <v>0</v>
      </c>
      <c r="AE165" s="106" t="b">
        <f>IF(L165=15,Tot.Head!AE119)</f>
        <v>0</v>
      </c>
      <c r="AF165" s="106" t="b">
        <f>IF(L165=16,Tot.Head!AF119)</f>
        <v>0</v>
      </c>
      <c r="AG165" s="106" t="b">
        <f>IF(L165=17,Tot.Head!AG119)</f>
        <v>0</v>
      </c>
    </row>
    <row r="167" spans="12:35" x14ac:dyDescent="0.2">
      <c r="O167" s="99">
        <v>1</v>
      </c>
      <c r="P167" s="100" t="s">
        <v>94</v>
      </c>
      <c r="Q167" s="106" t="b">
        <f>IF('Newtonus.Calculator.T Head.Pipe'!$AU$23=1,Tot.Head!Q159)</f>
        <v>0</v>
      </c>
      <c r="R167" s="106" t="b">
        <f>IF('Newtonus.Calculator.T Head.Pipe'!$AU$23=1,Tot.Head!R159)</f>
        <v>0</v>
      </c>
      <c r="S167" s="106" t="b">
        <f>IF('Newtonus.Calculator.T Head.Pipe'!$AU$23=1,Tot.Head!S159)</f>
        <v>0</v>
      </c>
      <c r="T167" s="106" t="b">
        <f>IF('Newtonus.Calculator.T Head.Pipe'!$AU$23=1,Tot.Head!T159)</f>
        <v>0</v>
      </c>
      <c r="U167" s="106" t="b">
        <f>IF('Newtonus.Calculator.T Head.Pipe'!$AU$23=1,Tot.Head!U159)</f>
        <v>0</v>
      </c>
      <c r="V167" s="106" t="b">
        <f>IF('Newtonus.Calculator.T Head.Pipe'!$AU$23=1,Tot.Head!V159)</f>
        <v>0</v>
      </c>
      <c r="W167" s="106" t="b">
        <f>IF('Newtonus.Calculator.T Head.Pipe'!$AU$23=1,Tot.Head!W159)</f>
        <v>0</v>
      </c>
      <c r="X167" s="106" t="b">
        <f>IF('Newtonus.Calculator.T Head.Pipe'!$AU$23=1,Tot.Head!X159)</f>
        <v>0</v>
      </c>
      <c r="Y167" s="106" t="b">
        <f>IF('Newtonus.Calculator.T Head.Pipe'!$AU$23=1,Tot.Head!Y159)</f>
        <v>0</v>
      </c>
      <c r="Z167" s="106" t="b">
        <f>IF('Newtonus.Calculator.T Head.Pipe'!$AU$23=1,Tot.Head!Z159)</f>
        <v>0</v>
      </c>
      <c r="AA167" s="106" t="b">
        <f>IF('Newtonus.Calculator.T Head.Pipe'!$AU$23=1,Tot.Head!AA159)</f>
        <v>0</v>
      </c>
      <c r="AB167" s="106" t="b">
        <f>IF('Newtonus.Calculator.T Head.Pipe'!$AU$23=1,Tot.Head!AB159)</f>
        <v>0</v>
      </c>
      <c r="AC167" s="106" t="b">
        <f>IF('Newtonus.Calculator.T Head.Pipe'!$AU$23=1,Tot.Head!AC159)</f>
        <v>0</v>
      </c>
      <c r="AD167" s="106" t="b">
        <f>IF('Newtonus.Calculator.T Head.Pipe'!$AU$23=1,Tot.Head!AD159)</f>
        <v>0</v>
      </c>
      <c r="AE167" s="106" t="b">
        <f>IF('Newtonus.Calculator.T Head.Pipe'!$AU$23=1,Tot.Head!AE159)</f>
        <v>0</v>
      </c>
      <c r="AF167" s="106" t="b">
        <f>IF('Newtonus.Calculator.T Head.Pipe'!$AU$23=1,Tot.Head!AF159)</f>
        <v>0</v>
      </c>
      <c r="AG167" s="106" t="b">
        <f>IF('Newtonus.Calculator.T Head.Pipe'!$AU$23=1,Tot.Head!AG159)</f>
        <v>0</v>
      </c>
      <c r="AH167" s="104">
        <f>SUM(Q167:AG167)</f>
        <v>0</v>
      </c>
    </row>
    <row r="168" spans="12:35" x14ac:dyDescent="0.2">
      <c r="O168" s="99">
        <v>2</v>
      </c>
      <c r="P168" s="100" t="s">
        <v>103</v>
      </c>
      <c r="Q168" s="106" t="b">
        <f>IF('Newtonus.Calculator.T Head.Pipe'!$AU$23=2,Tot.Head!Q160)</f>
        <v>0</v>
      </c>
      <c r="R168" s="106" t="b">
        <f>IF('Newtonus.Calculator.T Head.Pipe'!$AU$23=2,Tot.Head!R160)</f>
        <v>0</v>
      </c>
      <c r="S168" s="106" t="b">
        <f>IF('Newtonus.Calculator.T Head.Pipe'!$AU$23=2,Tot.Head!S160)</f>
        <v>0</v>
      </c>
      <c r="T168" s="106" t="b">
        <f>IF('Newtonus.Calculator.T Head.Pipe'!$AU$23=2,Tot.Head!T160)</f>
        <v>0</v>
      </c>
      <c r="U168" s="106" t="b">
        <f>IF('Newtonus.Calculator.T Head.Pipe'!$AU$23=2,Tot.Head!U160)</f>
        <v>0</v>
      </c>
      <c r="V168" s="106" t="b">
        <f>IF('Newtonus.Calculator.T Head.Pipe'!$AU$23=2,Tot.Head!V160)</f>
        <v>0</v>
      </c>
      <c r="W168" s="106" t="b">
        <f>IF('Newtonus.Calculator.T Head.Pipe'!$AU$23=2,Tot.Head!W160)</f>
        <v>0</v>
      </c>
      <c r="X168" s="106" t="b">
        <f>IF('Newtonus.Calculator.T Head.Pipe'!$AU$23=2,Tot.Head!X160)</f>
        <v>0</v>
      </c>
      <c r="Y168" s="106" t="b">
        <f>IF('Newtonus.Calculator.T Head.Pipe'!$AU$23=2,Tot.Head!Y160)</f>
        <v>0</v>
      </c>
      <c r="Z168" s="106" t="b">
        <f>IF('Newtonus.Calculator.T Head.Pipe'!$AU$23=2,Tot.Head!Z160)</f>
        <v>0</v>
      </c>
      <c r="AA168" s="106" t="b">
        <f>IF('Newtonus.Calculator.T Head.Pipe'!$AU$23=2,Tot.Head!AA160)</f>
        <v>0</v>
      </c>
      <c r="AB168" s="106" t="b">
        <f>IF('Newtonus.Calculator.T Head.Pipe'!$AU$23=2,Tot.Head!AB160)</f>
        <v>0</v>
      </c>
      <c r="AC168" s="106" t="b">
        <f>IF('Newtonus.Calculator.T Head.Pipe'!$AU$23=2,Tot.Head!AC160)</f>
        <v>0</v>
      </c>
      <c r="AD168" s="106" t="b">
        <f>IF('Newtonus.Calculator.T Head.Pipe'!$AU$23=2,Tot.Head!AD160)</f>
        <v>0</v>
      </c>
      <c r="AE168" s="106" t="b">
        <f>IF('Newtonus.Calculator.T Head.Pipe'!$AU$23=2,Tot.Head!AE160)</f>
        <v>0</v>
      </c>
      <c r="AF168" s="106" t="b">
        <f>IF('Newtonus.Calculator.T Head.Pipe'!$AU$23=2,Tot.Head!AF160)</f>
        <v>0</v>
      </c>
      <c r="AG168" s="106" t="b">
        <f>IF('Newtonus.Calculator.T Head.Pipe'!$AU$23=2,Tot.Head!AG160)</f>
        <v>0</v>
      </c>
      <c r="AH168" s="104">
        <f t="shared" ref="AH168:AH173" si="32">SUM(Q168:AG168)</f>
        <v>0</v>
      </c>
    </row>
    <row r="169" spans="12:35" x14ac:dyDescent="0.2">
      <c r="O169" s="99">
        <v>3</v>
      </c>
      <c r="P169" s="100" t="s">
        <v>102</v>
      </c>
      <c r="Q169" s="106" t="b">
        <f>IF('Newtonus.Calculator.T Head.Pipe'!$AU$23=3,Tot.Head!Q161)</f>
        <v>0</v>
      </c>
      <c r="R169" s="106" t="b">
        <f>IF('Newtonus.Calculator.T Head.Pipe'!$AU$23=3,Tot.Head!R161)</f>
        <v>0</v>
      </c>
      <c r="S169" s="106" t="b">
        <f>IF('Newtonus.Calculator.T Head.Pipe'!$AU$23=3,Tot.Head!S161)</f>
        <v>0</v>
      </c>
      <c r="T169" s="106" t="b">
        <f>IF('Newtonus.Calculator.T Head.Pipe'!$AU$23=3,Tot.Head!T161)</f>
        <v>0</v>
      </c>
      <c r="U169" s="106" t="b">
        <f>IF('Newtonus.Calculator.T Head.Pipe'!$AU$23=3,Tot.Head!U161)</f>
        <v>0</v>
      </c>
      <c r="V169" s="106" t="b">
        <f>IF('Newtonus.Calculator.T Head.Pipe'!$AU$23=3,Tot.Head!V161)</f>
        <v>0</v>
      </c>
      <c r="W169" s="106" t="b">
        <f>IF('Newtonus.Calculator.T Head.Pipe'!$AU$23=3,Tot.Head!W161)</f>
        <v>0</v>
      </c>
      <c r="X169" s="106" t="b">
        <f>IF('Newtonus.Calculator.T Head.Pipe'!$AU$23=3,Tot.Head!X161)</f>
        <v>0</v>
      </c>
      <c r="Y169" s="106" t="b">
        <f>IF('Newtonus.Calculator.T Head.Pipe'!$AU$23=3,Tot.Head!Y161)</f>
        <v>0</v>
      </c>
      <c r="Z169" s="106" t="b">
        <f>IF('Newtonus.Calculator.T Head.Pipe'!$AU$23=3,Tot.Head!Z161)</f>
        <v>0</v>
      </c>
      <c r="AA169" s="106" t="b">
        <f>IF('Newtonus.Calculator.T Head.Pipe'!$AU$23=3,Tot.Head!AA161)</f>
        <v>0</v>
      </c>
      <c r="AB169" s="106" t="b">
        <f>IF('Newtonus.Calculator.T Head.Pipe'!$AU$23=3,Tot.Head!AB161)</f>
        <v>0</v>
      </c>
      <c r="AC169" s="106" t="b">
        <f>IF('Newtonus.Calculator.T Head.Pipe'!$AU$23=3,Tot.Head!AC161)</f>
        <v>0</v>
      </c>
      <c r="AD169" s="106" t="b">
        <f>IF('Newtonus.Calculator.T Head.Pipe'!$AU$23=3,Tot.Head!AD161)</f>
        <v>0</v>
      </c>
      <c r="AE169" s="106" t="b">
        <f>IF('Newtonus.Calculator.T Head.Pipe'!$AU$23=3,Tot.Head!AE161)</f>
        <v>0</v>
      </c>
      <c r="AF169" s="106" t="b">
        <f>IF('Newtonus.Calculator.T Head.Pipe'!$AU$23=3,Tot.Head!AF161)</f>
        <v>0</v>
      </c>
      <c r="AG169" s="106" t="b">
        <f>IF('Newtonus.Calculator.T Head.Pipe'!$AU$23=3,Tot.Head!AG161)</f>
        <v>0</v>
      </c>
      <c r="AH169" s="104">
        <f t="shared" si="32"/>
        <v>0</v>
      </c>
    </row>
    <row r="170" spans="12:35" x14ac:dyDescent="0.2">
      <c r="O170" s="99">
        <v>4</v>
      </c>
      <c r="P170" s="87" t="s">
        <v>95</v>
      </c>
      <c r="Q170" s="106" t="b">
        <f>IF('Newtonus.Calculator.T Head.Pipe'!$AU$23=4,Tot.Head!Q162)</f>
        <v>0</v>
      </c>
      <c r="R170" s="106" t="b">
        <f>IF('Newtonus.Calculator.T Head.Pipe'!$AU$23=4,Tot.Head!R162)</f>
        <v>0</v>
      </c>
      <c r="S170" s="106" t="b">
        <f>IF('Newtonus.Calculator.T Head.Pipe'!$AU$23=4,Tot.Head!S162)</f>
        <v>0</v>
      </c>
      <c r="T170" s="106" t="b">
        <f>IF('Newtonus.Calculator.T Head.Pipe'!$AU$23=4,Tot.Head!T162)</f>
        <v>0</v>
      </c>
      <c r="U170" s="106" t="b">
        <f>IF('Newtonus.Calculator.T Head.Pipe'!$AU$23=4,Tot.Head!U162)</f>
        <v>0</v>
      </c>
      <c r="V170" s="106" t="b">
        <f>IF('Newtonus.Calculator.T Head.Pipe'!$AU$23=4,Tot.Head!V162)</f>
        <v>0</v>
      </c>
      <c r="W170" s="106" t="b">
        <f>IF('Newtonus.Calculator.T Head.Pipe'!$AU$23=4,Tot.Head!W162)</f>
        <v>0</v>
      </c>
      <c r="X170" s="106" t="b">
        <f>IF('Newtonus.Calculator.T Head.Pipe'!$AU$23=4,Tot.Head!X162)</f>
        <v>0</v>
      </c>
      <c r="Y170" s="106" t="b">
        <f>IF('Newtonus.Calculator.T Head.Pipe'!$AU$23=4,Tot.Head!Y162)</f>
        <v>0</v>
      </c>
      <c r="Z170" s="106" t="b">
        <f>IF('Newtonus.Calculator.T Head.Pipe'!$AU$23=4,Tot.Head!Z162)</f>
        <v>0</v>
      </c>
      <c r="AA170" s="106" t="b">
        <f>IF('Newtonus.Calculator.T Head.Pipe'!$AU$23=4,Tot.Head!AA162)</f>
        <v>0</v>
      </c>
      <c r="AB170" s="106" t="b">
        <f>IF('Newtonus.Calculator.T Head.Pipe'!$AU$23=4,Tot.Head!AB162)</f>
        <v>0</v>
      </c>
      <c r="AC170" s="106" t="b">
        <f>IF('Newtonus.Calculator.T Head.Pipe'!$AU$23=4,Tot.Head!AC162)</f>
        <v>0</v>
      </c>
      <c r="AD170" s="106" t="b">
        <f>IF('Newtonus.Calculator.T Head.Pipe'!$AU$23=4,Tot.Head!AD162)</f>
        <v>0</v>
      </c>
      <c r="AE170" s="106" t="b">
        <f>IF('Newtonus.Calculator.T Head.Pipe'!$AU$23=4,Tot.Head!AE162)</f>
        <v>0</v>
      </c>
      <c r="AF170" s="106" t="b">
        <f>IF('Newtonus.Calculator.T Head.Pipe'!$AU$23=4,Tot.Head!AF162)</f>
        <v>0</v>
      </c>
      <c r="AG170" s="106" t="b">
        <f>IF('Newtonus.Calculator.T Head.Pipe'!$AU$23=4,Tot.Head!AG162)</f>
        <v>0</v>
      </c>
      <c r="AH170" s="104">
        <f t="shared" si="32"/>
        <v>0</v>
      </c>
    </row>
    <row r="171" spans="12:35" x14ac:dyDescent="0.2">
      <c r="O171" s="99">
        <v>5</v>
      </c>
      <c r="P171" s="100" t="s">
        <v>96</v>
      </c>
      <c r="Q171" s="106" t="b">
        <f>IF('Newtonus.Calculator.T Head.Pipe'!$AU$23=5,Tot.Head!Q163)</f>
        <v>0</v>
      </c>
      <c r="R171" s="106" t="b">
        <f>IF('Newtonus.Calculator.T Head.Pipe'!$AU$23=5,Tot.Head!R163)</f>
        <v>0</v>
      </c>
      <c r="S171" s="106" t="b">
        <f>IF('Newtonus.Calculator.T Head.Pipe'!$AU$23=5,Tot.Head!S163)</f>
        <v>0</v>
      </c>
      <c r="T171" s="106" t="b">
        <f>IF('Newtonus.Calculator.T Head.Pipe'!$AU$23=5,Tot.Head!T163)</f>
        <v>0</v>
      </c>
      <c r="U171" s="106" t="b">
        <f>IF('Newtonus.Calculator.T Head.Pipe'!$AU$23=5,Tot.Head!U163)</f>
        <v>0</v>
      </c>
      <c r="V171" s="106" t="b">
        <f>IF('Newtonus.Calculator.T Head.Pipe'!$AU$23=5,Tot.Head!V163)</f>
        <v>0</v>
      </c>
      <c r="W171" s="106" t="b">
        <f>IF('Newtonus.Calculator.T Head.Pipe'!$AU$23=5,Tot.Head!W163)</f>
        <v>0</v>
      </c>
      <c r="X171" s="106" t="b">
        <f>IF('Newtonus.Calculator.T Head.Pipe'!$AU$23=5,Tot.Head!X163)</f>
        <v>0</v>
      </c>
      <c r="Y171" s="106" t="b">
        <f>IF('Newtonus.Calculator.T Head.Pipe'!$AU$23=5,Tot.Head!Y163)</f>
        <v>0</v>
      </c>
      <c r="Z171" s="106" t="b">
        <f>IF('Newtonus.Calculator.T Head.Pipe'!$AU$23=5,Tot.Head!Z163)</f>
        <v>0</v>
      </c>
      <c r="AA171" s="106" t="b">
        <f>IF('Newtonus.Calculator.T Head.Pipe'!$AU$23=5,Tot.Head!AA163)</f>
        <v>0</v>
      </c>
      <c r="AB171" s="106" t="b">
        <f>IF('Newtonus.Calculator.T Head.Pipe'!$AU$23=5,Tot.Head!AB163)</f>
        <v>0</v>
      </c>
      <c r="AC171" s="106" t="b">
        <f>IF('Newtonus.Calculator.T Head.Pipe'!$AU$23=5,Tot.Head!AC163)</f>
        <v>0</v>
      </c>
      <c r="AD171" s="106" t="b">
        <f>IF('Newtonus.Calculator.T Head.Pipe'!$AU$23=5,Tot.Head!AD163)</f>
        <v>0</v>
      </c>
      <c r="AE171" s="106" t="b">
        <f>IF('Newtonus.Calculator.T Head.Pipe'!$AU$23=5,Tot.Head!AE163)</f>
        <v>0</v>
      </c>
      <c r="AF171" s="106" t="b">
        <f>IF('Newtonus.Calculator.T Head.Pipe'!$AU$23=5,Tot.Head!AF163)</f>
        <v>0</v>
      </c>
      <c r="AG171" s="106" t="b">
        <f>IF('Newtonus.Calculator.T Head.Pipe'!$AU$23=5,Tot.Head!AG163)</f>
        <v>0</v>
      </c>
      <c r="AH171" s="104">
        <f t="shared" si="32"/>
        <v>0</v>
      </c>
    </row>
    <row r="172" spans="12:35" x14ac:dyDescent="0.2">
      <c r="O172" s="99">
        <v>6</v>
      </c>
      <c r="P172" s="100" t="s">
        <v>117</v>
      </c>
      <c r="Q172" s="106" t="b">
        <f>IF('Newtonus.Calculator.T Head.Pipe'!$AU$23=6,Tot.Head!Q164)</f>
        <v>0</v>
      </c>
      <c r="R172" s="106" t="b">
        <f>IF('Newtonus.Calculator.T Head.Pipe'!$AU$23=6,Tot.Head!R164)</f>
        <v>0</v>
      </c>
      <c r="S172" s="106" t="b">
        <f>IF('Newtonus.Calculator.T Head.Pipe'!$AU$23=6,Tot.Head!S164)</f>
        <v>0</v>
      </c>
      <c r="T172" s="106" t="b">
        <f>IF('Newtonus.Calculator.T Head.Pipe'!$AU$23=6,Tot.Head!T164)</f>
        <v>0</v>
      </c>
      <c r="U172" s="106" t="b">
        <f>IF('Newtonus.Calculator.T Head.Pipe'!$AU$23=6,Tot.Head!U164)</f>
        <v>0</v>
      </c>
      <c r="V172" s="106" t="b">
        <f>IF('Newtonus.Calculator.T Head.Pipe'!$AU$23=6,Tot.Head!V164)</f>
        <v>0</v>
      </c>
      <c r="W172" s="106" t="b">
        <f>IF('Newtonus.Calculator.T Head.Pipe'!$AU$23=6,Tot.Head!W164)</f>
        <v>0</v>
      </c>
      <c r="X172" s="106" t="b">
        <f>IF('Newtonus.Calculator.T Head.Pipe'!$AU$23=6,Tot.Head!X164)</f>
        <v>0</v>
      </c>
      <c r="Y172" s="106" t="b">
        <f>IF('Newtonus.Calculator.T Head.Pipe'!$AU$23=6,Tot.Head!Y164)</f>
        <v>0</v>
      </c>
      <c r="Z172" s="106" t="b">
        <f>IF('Newtonus.Calculator.T Head.Pipe'!$AU$23=6,Tot.Head!Z164)</f>
        <v>0</v>
      </c>
      <c r="AA172" s="106" t="b">
        <f>IF('Newtonus.Calculator.T Head.Pipe'!$AU$23=6,Tot.Head!AA164)</f>
        <v>0</v>
      </c>
      <c r="AB172" s="106" t="b">
        <f>IF('Newtonus.Calculator.T Head.Pipe'!$AU$23=6,Tot.Head!AB164)</f>
        <v>0</v>
      </c>
      <c r="AC172" s="106" t="b">
        <f>IF('Newtonus.Calculator.T Head.Pipe'!$AU$23=6,Tot.Head!AC164)</f>
        <v>0</v>
      </c>
      <c r="AD172" s="106" t="b">
        <f>IF('Newtonus.Calculator.T Head.Pipe'!$AU$23=6,Tot.Head!AD164)</f>
        <v>0</v>
      </c>
      <c r="AE172" s="106" t="b">
        <f>IF('Newtonus.Calculator.T Head.Pipe'!$AU$23=6,Tot.Head!AE164)</f>
        <v>0</v>
      </c>
      <c r="AF172" s="106" t="b">
        <f>IF('Newtonus.Calculator.T Head.Pipe'!$AU$23=6,Tot.Head!AF164)</f>
        <v>0</v>
      </c>
      <c r="AG172" s="106" t="b">
        <f>IF('Newtonus.Calculator.T Head.Pipe'!$AU$23=6,Tot.Head!AG164)</f>
        <v>0</v>
      </c>
      <c r="AH172" s="104">
        <f t="shared" si="32"/>
        <v>0</v>
      </c>
    </row>
    <row r="173" spans="12:35" x14ac:dyDescent="0.2">
      <c r="O173" s="99">
        <v>7</v>
      </c>
      <c r="P173" s="100" t="s">
        <v>116</v>
      </c>
      <c r="Q173" s="106" t="b">
        <f>IF('Newtonus.Calculator.T Head.Pipe'!$AU$23=7,Tot.Head!Q165)</f>
        <v>0</v>
      </c>
      <c r="R173" s="106" t="b">
        <f>IF('Newtonus.Calculator.T Head.Pipe'!$AU$23=7,Tot.Head!R165)</f>
        <v>0</v>
      </c>
      <c r="S173" s="106" t="b">
        <f>IF('Newtonus.Calculator.T Head.Pipe'!$AU$23=7,Tot.Head!S165)</f>
        <v>0</v>
      </c>
      <c r="T173" s="106" t="b">
        <f>IF('Newtonus.Calculator.T Head.Pipe'!$AU$23=7,Tot.Head!T165)</f>
        <v>0</v>
      </c>
      <c r="U173" s="106" t="b">
        <f>IF('Newtonus.Calculator.T Head.Pipe'!$AU$23=7,Tot.Head!U165)</f>
        <v>0</v>
      </c>
      <c r="V173" s="106" t="b">
        <f>IF('Newtonus.Calculator.T Head.Pipe'!$AU$23=7,Tot.Head!V165)</f>
        <v>0</v>
      </c>
      <c r="W173" s="106" t="b">
        <f>IF('Newtonus.Calculator.T Head.Pipe'!$AU$23=7,Tot.Head!W165)</f>
        <v>0</v>
      </c>
      <c r="X173" s="106" t="b">
        <f>IF('Newtonus.Calculator.T Head.Pipe'!$AU$23=7,Tot.Head!X165)</f>
        <v>0</v>
      </c>
      <c r="Y173" s="106" t="b">
        <f>IF('Newtonus.Calculator.T Head.Pipe'!$AU$23=7,Tot.Head!Y165)</f>
        <v>0</v>
      </c>
      <c r="Z173" s="106" t="b">
        <f>IF('Newtonus.Calculator.T Head.Pipe'!$AU$23=7,Tot.Head!Z165)</f>
        <v>0</v>
      </c>
      <c r="AA173" s="106" t="b">
        <f>IF('Newtonus.Calculator.T Head.Pipe'!$AU$23=7,Tot.Head!AA165)</f>
        <v>0</v>
      </c>
      <c r="AB173" s="106" t="b">
        <f>IF('Newtonus.Calculator.T Head.Pipe'!$AU$23=7,Tot.Head!AB165)</f>
        <v>0</v>
      </c>
      <c r="AC173" s="106" t="b">
        <f>IF('Newtonus.Calculator.T Head.Pipe'!$AU$23=7,Tot.Head!AC165)</f>
        <v>0</v>
      </c>
      <c r="AD173" s="106" t="b">
        <f>IF('Newtonus.Calculator.T Head.Pipe'!$AU$23=7,Tot.Head!AD165)</f>
        <v>0</v>
      </c>
      <c r="AE173" s="106" t="b">
        <f>IF('Newtonus.Calculator.T Head.Pipe'!$AU$23=7,Tot.Head!AE165)</f>
        <v>0</v>
      </c>
      <c r="AF173" s="106" t="b">
        <f>IF('Newtonus.Calculator.T Head.Pipe'!$AU$23=7,Tot.Head!AF165)</f>
        <v>0</v>
      </c>
      <c r="AG173" s="106" t="b">
        <f>IF('Newtonus.Calculator.T Head.Pipe'!$AU$23=7,Tot.Head!AG165)</f>
        <v>0</v>
      </c>
      <c r="AH173" s="104">
        <f t="shared" si="32"/>
        <v>0</v>
      </c>
    </row>
    <row r="174" spans="12:35" x14ac:dyDescent="0.2">
      <c r="AH174" s="104"/>
    </row>
    <row r="175" spans="12:35" x14ac:dyDescent="0.2">
      <c r="AH175" s="104">
        <f>SUM(AH167:AH173)</f>
        <v>0</v>
      </c>
      <c r="AI175" s="87" t="s">
        <v>115</v>
      </c>
    </row>
    <row r="177" spans="12:34" x14ac:dyDescent="0.2">
      <c r="O177" s="131" t="s">
        <v>122</v>
      </c>
      <c r="P177" s="131"/>
    </row>
    <row r="178" spans="12:34" x14ac:dyDescent="0.2">
      <c r="L178" s="87">
        <f>$L$203</f>
        <v>4</v>
      </c>
      <c r="O178" s="99">
        <v>1</v>
      </c>
      <c r="P178" s="100" t="s">
        <v>94</v>
      </c>
      <c r="Q178" s="106" t="b">
        <f>IF(L178=1,Tot.Head!Q113)</f>
        <v>0</v>
      </c>
      <c r="R178" s="106" t="b">
        <f>IF(L178=2,Tot.Head!R113)</f>
        <v>0</v>
      </c>
      <c r="S178" s="106" t="b">
        <f>IF(L178=3,Tot.Head!S113)</f>
        <v>0</v>
      </c>
      <c r="T178" s="106">
        <f>IF(L178=4,Tot.Head!T113)</f>
        <v>142</v>
      </c>
      <c r="U178" s="106" t="b">
        <f>IF(L178=5,Tot.Head!U113)</f>
        <v>0</v>
      </c>
      <c r="V178" s="106" t="b">
        <f>IF(L178=6,Tot.Head!V113)</f>
        <v>0</v>
      </c>
      <c r="W178" s="106" t="b">
        <f>IF(L178=7,Tot.Head!W113)</f>
        <v>0</v>
      </c>
      <c r="X178" s="106" t="b">
        <f>IF(L178=8,Tot.Head!X113)</f>
        <v>0</v>
      </c>
      <c r="Y178" s="106" t="b">
        <f>IF(L178=9,Tot.Head!Y113)</f>
        <v>0</v>
      </c>
      <c r="Z178" s="106" t="b">
        <f>IF(L178=10,Tot.Head!Z113)</f>
        <v>0</v>
      </c>
      <c r="AA178" s="106" t="b">
        <f>IF(L178=11,Tot.Head!AA113)</f>
        <v>0</v>
      </c>
      <c r="AB178" s="106" t="b">
        <f>IF(L178=12,Tot.Head!AB113)</f>
        <v>0</v>
      </c>
      <c r="AC178" s="106" t="b">
        <f>IF(L178=13,Tot.Head!AC113)</f>
        <v>0</v>
      </c>
      <c r="AD178" s="106" t="b">
        <f>IF(L178=14,Tot.Head!AD113)</f>
        <v>0</v>
      </c>
      <c r="AE178" s="106" t="b">
        <f>IF(L178=15,Tot.Head!AE113)</f>
        <v>0</v>
      </c>
      <c r="AF178" s="106" t="b">
        <f>IF(L178=16,Tot.Head!AF113)</f>
        <v>0</v>
      </c>
      <c r="AG178" s="106" t="b">
        <f>IF(L178=17,Tot.Head!AG113)</f>
        <v>0</v>
      </c>
    </row>
    <row r="179" spans="12:34" x14ac:dyDescent="0.2">
      <c r="L179" s="87">
        <f t="shared" ref="L179:L184" si="33">$L$203</f>
        <v>4</v>
      </c>
      <c r="O179" s="99">
        <v>2</v>
      </c>
      <c r="P179" s="100" t="s">
        <v>103</v>
      </c>
      <c r="Q179" s="106" t="b">
        <f>IF(L179=1,Tot.Head!Q114)</f>
        <v>0</v>
      </c>
      <c r="R179" s="106" t="b">
        <f>IF(L179=2,Tot.Head!R114)</f>
        <v>0</v>
      </c>
      <c r="S179" s="106" t="b">
        <f>IF(L179=3,Tot.Head!S114)</f>
        <v>0</v>
      </c>
      <c r="T179" s="106">
        <f>IF(L179=4,Tot.Head!T114)</f>
        <v>133</v>
      </c>
      <c r="U179" s="106" t="b">
        <f>IF(L179=5,Tot.Head!U114)</f>
        <v>0</v>
      </c>
      <c r="V179" s="106" t="b">
        <f>IF(L179=6,Tot.Head!V114)</f>
        <v>0</v>
      </c>
      <c r="W179" s="106" t="b">
        <f>IF(L179=7,Tot.Head!W114)</f>
        <v>0</v>
      </c>
      <c r="X179" s="106" t="b">
        <f>IF(L179=8,Tot.Head!X114)</f>
        <v>0</v>
      </c>
      <c r="Y179" s="106" t="b">
        <f>IF(L179=9,Tot.Head!Y114)</f>
        <v>0</v>
      </c>
      <c r="Z179" s="106" t="b">
        <f>IF(L179=10,Tot.Head!Z114)</f>
        <v>0</v>
      </c>
      <c r="AA179" s="106" t="b">
        <f>IF(L179=11,Tot.Head!AA114)</f>
        <v>0</v>
      </c>
      <c r="AB179" s="106" t="b">
        <f>IF(L179=12,Tot.Head!AB114)</f>
        <v>0</v>
      </c>
      <c r="AC179" s="106" t="b">
        <f>IF(L179=13,Tot.Head!AC114)</f>
        <v>0</v>
      </c>
      <c r="AD179" s="106" t="b">
        <f>IF(L179=14,Tot.Head!AD114)</f>
        <v>0</v>
      </c>
      <c r="AE179" s="106" t="b">
        <f>IF(L179=15,Tot.Head!AE114)</f>
        <v>0</v>
      </c>
      <c r="AF179" s="106" t="b">
        <f>IF(L179=16,Tot.Head!AF114)</f>
        <v>0</v>
      </c>
      <c r="AG179" s="106" t="b">
        <f>IF(L179=17,Tot.Head!AG114)</f>
        <v>0</v>
      </c>
    </row>
    <row r="180" spans="12:34" x14ac:dyDescent="0.2">
      <c r="L180" s="87">
        <f t="shared" si="33"/>
        <v>4</v>
      </c>
      <c r="O180" s="99">
        <v>3</v>
      </c>
      <c r="P180" s="100" t="s">
        <v>102</v>
      </c>
      <c r="Q180" s="106" t="b">
        <f>IF(L180=1,Tot.Head!Q115)</f>
        <v>0</v>
      </c>
      <c r="R180" s="106" t="b">
        <f>IF(L180=2,Tot.Head!R115)</f>
        <v>0</v>
      </c>
      <c r="S180" s="106" t="b">
        <f>IF(L180=3,Tot.Head!S115)</f>
        <v>0</v>
      </c>
      <c r="T180" s="106">
        <f>IF(L180=4,Tot.Head!T115)</f>
        <v>119</v>
      </c>
      <c r="U180" s="106" t="b">
        <f>IF(L180=5,Tot.Head!U115)</f>
        <v>0</v>
      </c>
      <c r="V180" s="106" t="b">
        <f>IF(L180=6,Tot.Head!V115)</f>
        <v>0</v>
      </c>
      <c r="W180" s="106" t="b">
        <f>IF(L180=7,Tot.Head!W115)</f>
        <v>0</v>
      </c>
      <c r="X180" s="106" t="b">
        <f>IF(L180=8,Tot.Head!X115)</f>
        <v>0</v>
      </c>
      <c r="Y180" s="106" t="b">
        <f>IF(L180=9,Tot.Head!Y115)</f>
        <v>0</v>
      </c>
      <c r="Z180" s="106" t="b">
        <f>IF(L180=10,Tot.Head!Z115)</f>
        <v>0</v>
      </c>
      <c r="AA180" s="106" t="b">
        <f>IF(L180=11,Tot.Head!AA115)</f>
        <v>0</v>
      </c>
      <c r="AB180" s="106" t="b">
        <f>IF(L180=12,Tot.Head!AB115)</f>
        <v>0</v>
      </c>
      <c r="AC180" s="106" t="b">
        <f>IF(L180=13,Tot.Head!AC115)</f>
        <v>0</v>
      </c>
      <c r="AD180" s="106" t="b">
        <f>IF(L180=14,Tot.Head!AD115)</f>
        <v>0</v>
      </c>
      <c r="AE180" s="106" t="b">
        <f>IF(L180=15,Tot.Head!AE115)</f>
        <v>0</v>
      </c>
      <c r="AF180" s="106" t="b">
        <f>IF(L180=16,Tot.Head!AF115)</f>
        <v>0</v>
      </c>
      <c r="AG180" s="106" t="b">
        <f>IF(L180=17,Tot.Head!AG115)</f>
        <v>0</v>
      </c>
    </row>
    <row r="181" spans="12:34" x14ac:dyDescent="0.2">
      <c r="L181" s="87">
        <f t="shared" si="33"/>
        <v>4</v>
      </c>
      <c r="O181" s="99">
        <v>4</v>
      </c>
      <c r="P181" s="87" t="s">
        <v>95</v>
      </c>
      <c r="Q181" s="106" t="b">
        <f>IF(L181=1,Tot.Head!Q116)</f>
        <v>0</v>
      </c>
      <c r="R181" s="106" t="b">
        <f>IF(L181=2,Tot.Head!R116)</f>
        <v>0</v>
      </c>
      <c r="S181" s="106" t="b">
        <f>IF(L181=3,Tot.Head!S116)</f>
        <v>0</v>
      </c>
      <c r="T181" s="106">
        <f>IF(L181=4,Tot.Head!T116)</f>
        <v>142</v>
      </c>
      <c r="U181" s="106" t="b">
        <f>IF(L181=5,Tot.Head!U116)</f>
        <v>0</v>
      </c>
      <c r="V181" s="106" t="b">
        <f>IF(L181=6,Tot.Head!V116)</f>
        <v>0</v>
      </c>
      <c r="W181" s="106" t="b">
        <f>IF(L181=7,Tot.Head!W116)</f>
        <v>0</v>
      </c>
      <c r="X181" s="106" t="b">
        <f>IF(L181=8,Tot.Head!X116)</f>
        <v>0</v>
      </c>
      <c r="Y181" s="106" t="b">
        <f>IF(L181=9,Tot.Head!Y116)</f>
        <v>0</v>
      </c>
      <c r="Z181" s="106" t="b">
        <f>IF(L181=10,Tot.Head!Z116)</f>
        <v>0</v>
      </c>
      <c r="AA181" s="106" t="b">
        <f>IF(L181=11,Tot.Head!AA116)</f>
        <v>0</v>
      </c>
      <c r="AB181" s="106" t="b">
        <f>IF(L181=12,Tot.Head!AB116)</f>
        <v>0</v>
      </c>
      <c r="AC181" s="106" t="b">
        <f>IF(L181=13,Tot.Head!AC116)</f>
        <v>0</v>
      </c>
      <c r="AD181" s="106" t="b">
        <f>IF(L181=14,Tot.Head!AD116)</f>
        <v>0</v>
      </c>
      <c r="AE181" s="106" t="b">
        <f>IF(L181=15,Tot.Head!AE116)</f>
        <v>0</v>
      </c>
      <c r="AF181" s="106" t="b">
        <f>IF(L181=16,Tot.Head!AF116)</f>
        <v>0</v>
      </c>
      <c r="AG181" s="106" t="b">
        <f>IF(L181=17,Tot.Head!AG116)</f>
        <v>0</v>
      </c>
    </row>
    <row r="182" spans="12:34" x14ac:dyDescent="0.2">
      <c r="L182" s="87">
        <f t="shared" si="33"/>
        <v>4</v>
      </c>
      <c r="O182" s="99">
        <v>5</v>
      </c>
      <c r="P182" s="100" t="s">
        <v>96</v>
      </c>
      <c r="Q182" s="106" t="b">
        <f>IF(L182=1,Tot.Head!Q117)</f>
        <v>0</v>
      </c>
      <c r="R182" s="106" t="b">
        <f>IF(L182=2,Tot.Head!R117)</f>
        <v>0</v>
      </c>
      <c r="S182" s="106" t="b">
        <f>IF(L182=3,Tot.Head!S117)</f>
        <v>0</v>
      </c>
      <c r="T182" s="106">
        <f>IF(L182=4,Tot.Head!T117)</f>
        <v>118</v>
      </c>
      <c r="U182" s="106" t="b">
        <f>IF(L182=5,Tot.Head!U117)</f>
        <v>0</v>
      </c>
      <c r="V182" s="106" t="b">
        <f>IF(L182=6,Tot.Head!V117)</f>
        <v>0</v>
      </c>
      <c r="W182" s="106" t="b">
        <f>IF(L182=7,Tot.Head!W117)</f>
        <v>0</v>
      </c>
      <c r="X182" s="106" t="b">
        <f>IF(L182=8,Tot.Head!X117)</f>
        <v>0</v>
      </c>
      <c r="Y182" s="106" t="b">
        <f>IF(L182=9,Tot.Head!Y117)</f>
        <v>0</v>
      </c>
      <c r="Z182" s="106" t="b">
        <f>IF(L182=10,Tot.Head!Z117)</f>
        <v>0</v>
      </c>
      <c r="AA182" s="106" t="b">
        <f>IF(L182=11,Tot.Head!AA117)</f>
        <v>0</v>
      </c>
      <c r="AB182" s="106" t="b">
        <f>IF(L182=12,Tot.Head!AB117)</f>
        <v>0</v>
      </c>
      <c r="AC182" s="106" t="b">
        <f>IF(L182=13,Tot.Head!AC117)</f>
        <v>0</v>
      </c>
      <c r="AD182" s="106" t="b">
        <f>IF(L182=14,Tot.Head!AD117)</f>
        <v>0</v>
      </c>
      <c r="AE182" s="106" t="b">
        <f>IF(L182=15,Tot.Head!AE117)</f>
        <v>0</v>
      </c>
      <c r="AF182" s="106" t="b">
        <f>IF(L182=16,Tot.Head!AF117)</f>
        <v>0</v>
      </c>
      <c r="AG182" s="106" t="b">
        <f>IF(L182=17,Tot.Head!AG117)</f>
        <v>0</v>
      </c>
    </row>
    <row r="183" spans="12:34" x14ac:dyDescent="0.2">
      <c r="L183" s="87">
        <f t="shared" si="33"/>
        <v>4</v>
      </c>
      <c r="O183" s="99">
        <v>6</v>
      </c>
      <c r="P183" s="100" t="s">
        <v>117</v>
      </c>
      <c r="Q183" s="106" t="b">
        <f>IF(L183=1,Tot.Head!Q118)</f>
        <v>0</v>
      </c>
      <c r="R183" s="106" t="b">
        <f>IF(L183=2,Tot.Head!R118)</f>
        <v>0</v>
      </c>
      <c r="S183" s="106" t="b">
        <f>IF(L183=3,Tot.Head!S118)</f>
        <v>0</v>
      </c>
      <c r="T183" s="106">
        <f>IF(L183=4,Tot.Head!T118)</f>
        <v>140</v>
      </c>
      <c r="U183" s="106" t="b">
        <f>IF(L183=5,Tot.Head!U118)</f>
        <v>0</v>
      </c>
      <c r="V183" s="106" t="b">
        <f>IF(L183=6,Tot.Head!V118)</f>
        <v>0</v>
      </c>
      <c r="W183" s="106" t="b">
        <f>IF(L183=7,Tot.Head!W118)</f>
        <v>0</v>
      </c>
      <c r="X183" s="106" t="b">
        <f>IF(L183=8,Tot.Head!X118)</f>
        <v>0</v>
      </c>
      <c r="Y183" s="106" t="b">
        <f>IF(L183=9,Tot.Head!Y118)</f>
        <v>0</v>
      </c>
      <c r="Z183" s="106" t="b">
        <f>IF(L183=10,Tot.Head!Z118)</f>
        <v>0</v>
      </c>
      <c r="AA183" s="106" t="b">
        <f>IF(L183=11,Tot.Head!AA118)</f>
        <v>0</v>
      </c>
      <c r="AB183" s="106" t="b">
        <f>IF(L183=12,Tot.Head!AB118)</f>
        <v>0</v>
      </c>
      <c r="AC183" s="106" t="b">
        <f>IF(L183=13,Tot.Head!AC118)</f>
        <v>0</v>
      </c>
      <c r="AD183" s="106" t="b">
        <f>IF(L183=14,Tot.Head!AD118)</f>
        <v>0</v>
      </c>
      <c r="AE183" s="106" t="b">
        <f>IF(L183=15,Tot.Head!AE118)</f>
        <v>0</v>
      </c>
      <c r="AF183" s="106" t="b">
        <f>IF(L183=16,Tot.Head!AF118)</f>
        <v>0</v>
      </c>
      <c r="AG183" s="106" t="b">
        <f>IF(L183=17,Tot.Head!AG118)</f>
        <v>0</v>
      </c>
    </row>
    <row r="184" spans="12:34" x14ac:dyDescent="0.2">
      <c r="L184" s="87">
        <f t="shared" si="33"/>
        <v>4</v>
      </c>
      <c r="O184" s="99">
        <v>7</v>
      </c>
      <c r="P184" s="100" t="s">
        <v>116</v>
      </c>
      <c r="Q184" s="106" t="b">
        <f>IF(L184=1,Tot.Head!Q119)</f>
        <v>0</v>
      </c>
      <c r="R184" s="106" t="b">
        <f>IF(L184=2,Tot.Head!R119)</f>
        <v>0</v>
      </c>
      <c r="S184" s="106" t="b">
        <f>IF(L184=3,Tot.Head!S119)</f>
        <v>0</v>
      </c>
      <c r="T184" s="106">
        <f>IF(L184=4,Tot.Head!T119)</f>
        <v>145</v>
      </c>
      <c r="U184" s="106" t="b">
        <f>IF(L184=5,Tot.Head!U119)</f>
        <v>0</v>
      </c>
      <c r="V184" s="106" t="b">
        <f>IF(L184=6,Tot.Head!V119)</f>
        <v>0</v>
      </c>
      <c r="W184" s="106" t="b">
        <f>IF(L184=7,Tot.Head!W119)</f>
        <v>0</v>
      </c>
      <c r="X184" s="106" t="b">
        <f>IF(L184=8,Tot.Head!X119)</f>
        <v>0</v>
      </c>
      <c r="Y184" s="106" t="b">
        <f>IF(L184=9,Tot.Head!Y119)</f>
        <v>0</v>
      </c>
      <c r="Z184" s="106" t="b">
        <f>IF(L184=10,Tot.Head!Z119)</f>
        <v>0</v>
      </c>
      <c r="AA184" s="106" t="b">
        <f>IF(L184=11,Tot.Head!AA119)</f>
        <v>0</v>
      </c>
      <c r="AB184" s="106" t="b">
        <f>IF(L184=12,Tot.Head!AB119)</f>
        <v>0</v>
      </c>
      <c r="AC184" s="106" t="b">
        <f>IF(L184=13,Tot.Head!AC119)</f>
        <v>0</v>
      </c>
      <c r="AD184" s="106" t="b">
        <f>IF(L184=14,Tot.Head!AD119)</f>
        <v>0</v>
      </c>
      <c r="AE184" s="106" t="b">
        <f>IF(L184=15,Tot.Head!AE119)</f>
        <v>0</v>
      </c>
      <c r="AF184" s="106" t="b">
        <f>IF(L184=16,Tot.Head!AF119)</f>
        <v>0</v>
      </c>
      <c r="AG184" s="106" t="b">
        <f>IF(L184=17,Tot.Head!AG119)</f>
        <v>0</v>
      </c>
    </row>
    <row r="186" spans="12:34" x14ac:dyDescent="0.2">
      <c r="O186" s="99">
        <v>1</v>
      </c>
      <c r="P186" s="100" t="s">
        <v>94</v>
      </c>
      <c r="Q186" s="106" t="b">
        <f>IF('Newtonus.Calculator.T Head.Pipe'!$AX$23=1,Tot.Head!Q178)</f>
        <v>0</v>
      </c>
      <c r="R186" s="106" t="b">
        <f>IF('Newtonus.Calculator.T Head.Pipe'!$AX$23=1,Tot.Head!R178)</f>
        <v>0</v>
      </c>
      <c r="S186" s="106" t="b">
        <f>IF('Newtonus.Calculator.T Head.Pipe'!$AX$23=1,Tot.Head!S178)</f>
        <v>0</v>
      </c>
      <c r="T186" s="106" t="b">
        <f>IF('Newtonus.Calculator.T Head.Pipe'!$AX$23=1,Tot.Head!T178)</f>
        <v>0</v>
      </c>
      <c r="U186" s="106" t="b">
        <f>IF('Newtonus.Calculator.T Head.Pipe'!$AX$23=1,Tot.Head!U178)</f>
        <v>0</v>
      </c>
      <c r="V186" s="106" t="b">
        <f>IF('Newtonus.Calculator.T Head.Pipe'!$AX$23=1,Tot.Head!V178)</f>
        <v>0</v>
      </c>
      <c r="W186" s="106" t="b">
        <f>IF('Newtonus.Calculator.T Head.Pipe'!$AX$23=1,Tot.Head!W178)</f>
        <v>0</v>
      </c>
      <c r="X186" s="106" t="b">
        <f>IF('Newtonus.Calculator.T Head.Pipe'!$AX$23=1,Tot.Head!X178)</f>
        <v>0</v>
      </c>
      <c r="Y186" s="106" t="b">
        <f>IF('Newtonus.Calculator.T Head.Pipe'!$AX$23=1,Tot.Head!Y178)</f>
        <v>0</v>
      </c>
      <c r="Z186" s="106" t="b">
        <f>IF('Newtonus.Calculator.T Head.Pipe'!$AX$23=1,Tot.Head!Z178)</f>
        <v>0</v>
      </c>
      <c r="AA186" s="106" t="b">
        <f>IF('Newtonus.Calculator.T Head.Pipe'!$AX$23=1,Tot.Head!AA178)</f>
        <v>0</v>
      </c>
      <c r="AB186" s="106" t="b">
        <f>IF('Newtonus.Calculator.T Head.Pipe'!$AX$23=1,Tot.Head!AB178)</f>
        <v>0</v>
      </c>
      <c r="AC186" s="106" t="b">
        <f>IF('Newtonus.Calculator.T Head.Pipe'!$AX$23=1,Tot.Head!AC178)</f>
        <v>0</v>
      </c>
      <c r="AD186" s="106" t="b">
        <f>IF('Newtonus.Calculator.T Head.Pipe'!$AX$23=1,Tot.Head!AD178)</f>
        <v>0</v>
      </c>
      <c r="AE186" s="106" t="b">
        <f>IF('Newtonus.Calculator.T Head.Pipe'!$AX$23=1,Tot.Head!AE178)</f>
        <v>0</v>
      </c>
      <c r="AF186" s="106" t="b">
        <f>IF('Newtonus.Calculator.T Head.Pipe'!$AX$23=1,Tot.Head!AF178)</f>
        <v>0</v>
      </c>
      <c r="AG186" s="106" t="b">
        <f>IF('Newtonus.Calculator.T Head.Pipe'!$AX$23=1,Tot.Head!AG178)</f>
        <v>0</v>
      </c>
      <c r="AH186" s="104">
        <f>SUM(Q186:AG186)</f>
        <v>0</v>
      </c>
    </row>
    <row r="187" spans="12:34" x14ac:dyDescent="0.2">
      <c r="O187" s="99">
        <v>2</v>
      </c>
      <c r="P187" s="100" t="s">
        <v>103</v>
      </c>
      <c r="Q187" s="106" t="b">
        <f>IF('Newtonus.Calculator.T Head.Pipe'!$AX$23=2,Tot.Head!Q179)</f>
        <v>0</v>
      </c>
      <c r="R187" s="106" t="b">
        <f>IF('Newtonus.Calculator.T Head.Pipe'!$AX$23=2,Tot.Head!R179)</f>
        <v>0</v>
      </c>
      <c r="S187" s="106" t="b">
        <f>IF('Newtonus.Calculator.T Head.Pipe'!$AX$23=2,Tot.Head!S179)</f>
        <v>0</v>
      </c>
      <c r="T187" s="106" t="b">
        <f>IF('Newtonus.Calculator.T Head.Pipe'!$AX$23=2,Tot.Head!T179)</f>
        <v>0</v>
      </c>
      <c r="U187" s="106" t="b">
        <f>IF('Newtonus.Calculator.T Head.Pipe'!$AX$23=2,Tot.Head!U179)</f>
        <v>0</v>
      </c>
      <c r="V187" s="106" t="b">
        <f>IF('Newtonus.Calculator.T Head.Pipe'!$AX$23=2,Tot.Head!V179)</f>
        <v>0</v>
      </c>
      <c r="W187" s="106" t="b">
        <f>IF('Newtonus.Calculator.T Head.Pipe'!$AX$23=2,Tot.Head!W179)</f>
        <v>0</v>
      </c>
      <c r="X187" s="106" t="b">
        <f>IF('Newtonus.Calculator.T Head.Pipe'!$AX$23=2,Tot.Head!X179)</f>
        <v>0</v>
      </c>
      <c r="Y187" s="106" t="b">
        <f>IF('Newtonus.Calculator.T Head.Pipe'!$AX$23=2,Tot.Head!Y179)</f>
        <v>0</v>
      </c>
      <c r="Z187" s="106" t="b">
        <f>IF('Newtonus.Calculator.T Head.Pipe'!$AX$23=2,Tot.Head!Z179)</f>
        <v>0</v>
      </c>
      <c r="AA187" s="106" t="b">
        <f>IF('Newtonus.Calculator.T Head.Pipe'!$AX$23=2,Tot.Head!AA179)</f>
        <v>0</v>
      </c>
      <c r="AB187" s="106" t="b">
        <f>IF('Newtonus.Calculator.T Head.Pipe'!$AX$23=2,Tot.Head!AB179)</f>
        <v>0</v>
      </c>
      <c r="AC187" s="106" t="b">
        <f>IF('Newtonus.Calculator.T Head.Pipe'!$AX$23=2,Tot.Head!AC179)</f>
        <v>0</v>
      </c>
      <c r="AD187" s="106" t="b">
        <f>IF('Newtonus.Calculator.T Head.Pipe'!$AX$23=2,Tot.Head!AD179)</f>
        <v>0</v>
      </c>
      <c r="AE187" s="106" t="b">
        <f>IF('Newtonus.Calculator.T Head.Pipe'!$AX$23=2,Tot.Head!AE179)</f>
        <v>0</v>
      </c>
      <c r="AF187" s="106" t="b">
        <f>IF('Newtonus.Calculator.T Head.Pipe'!$AX$23=2,Tot.Head!AF179)</f>
        <v>0</v>
      </c>
      <c r="AG187" s="106" t="b">
        <f>IF('Newtonus.Calculator.T Head.Pipe'!$AX$23=2,Tot.Head!AG179)</f>
        <v>0</v>
      </c>
      <c r="AH187" s="104">
        <f t="shared" ref="AH187:AH192" si="34">SUM(Q187:AG187)</f>
        <v>0</v>
      </c>
    </row>
    <row r="188" spans="12:34" x14ac:dyDescent="0.2">
      <c r="O188" s="99">
        <v>3</v>
      </c>
      <c r="P188" s="100" t="s">
        <v>102</v>
      </c>
      <c r="Q188" s="106" t="b">
        <f>IF('Newtonus.Calculator.T Head.Pipe'!$AX$23=3,Tot.Head!Q180)</f>
        <v>0</v>
      </c>
      <c r="R188" s="106" t="b">
        <f>IF('Newtonus.Calculator.T Head.Pipe'!$AX$23=3,Tot.Head!R180)</f>
        <v>0</v>
      </c>
      <c r="S188" s="106" t="b">
        <f>IF('Newtonus.Calculator.T Head.Pipe'!$AX$23=3,Tot.Head!S180)</f>
        <v>0</v>
      </c>
      <c r="T188" s="106" t="b">
        <f>IF('Newtonus.Calculator.T Head.Pipe'!$AX$23=3,Tot.Head!T180)</f>
        <v>0</v>
      </c>
      <c r="U188" s="106" t="b">
        <f>IF('Newtonus.Calculator.T Head.Pipe'!$AX$23=3,Tot.Head!U180)</f>
        <v>0</v>
      </c>
      <c r="V188" s="106" t="b">
        <f>IF('Newtonus.Calculator.T Head.Pipe'!$AX$23=3,Tot.Head!V180)</f>
        <v>0</v>
      </c>
      <c r="W188" s="106" t="b">
        <f>IF('Newtonus.Calculator.T Head.Pipe'!$AX$23=3,Tot.Head!W180)</f>
        <v>0</v>
      </c>
      <c r="X188" s="106" t="b">
        <f>IF('Newtonus.Calculator.T Head.Pipe'!$AX$23=3,Tot.Head!X180)</f>
        <v>0</v>
      </c>
      <c r="Y188" s="106" t="b">
        <f>IF('Newtonus.Calculator.T Head.Pipe'!$AX$23=3,Tot.Head!Y180)</f>
        <v>0</v>
      </c>
      <c r="Z188" s="106" t="b">
        <f>IF('Newtonus.Calculator.T Head.Pipe'!$AX$23=3,Tot.Head!Z180)</f>
        <v>0</v>
      </c>
      <c r="AA188" s="106" t="b">
        <f>IF('Newtonus.Calculator.T Head.Pipe'!$AX$23=3,Tot.Head!AA180)</f>
        <v>0</v>
      </c>
      <c r="AB188" s="106" t="b">
        <f>IF('Newtonus.Calculator.T Head.Pipe'!$AX$23=3,Tot.Head!AB180)</f>
        <v>0</v>
      </c>
      <c r="AC188" s="106" t="b">
        <f>IF('Newtonus.Calculator.T Head.Pipe'!$AX$23=3,Tot.Head!AC180)</f>
        <v>0</v>
      </c>
      <c r="AD188" s="106" t="b">
        <f>IF('Newtonus.Calculator.T Head.Pipe'!$AX$23=3,Tot.Head!AD180)</f>
        <v>0</v>
      </c>
      <c r="AE188" s="106" t="b">
        <f>IF('Newtonus.Calculator.T Head.Pipe'!$AX$23=3,Tot.Head!AE180)</f>
        <v>0</v>
      </c>
      <c r="AF188" s="106" t="b">
        <f>IF('Newtonus.Calculator.T Head.Pipe'!$AX$23=3,Tot.Head!AF180)</f>
        <v>0</v>
      </c>
      <c r="AG188" s="106" t="b">
        <f>IF('Newtonus.Calculator.T Head.Pipe'!$AX$23=3,Tot.Head!AG180)</f>
        <v>0</v>
      </c>
      <c r="AH188" s="104">
        <f t="shared" si="34"/>
        <v>0</v>
      </c>
    </row>
    <row r="189" spans="12:34" x14ac:dyDescent="0.2">
      <c r="O189" s="99">
        <v>4</v>
      </c>
      <c r="P189" s="87" t="s">
        <v>95</v>
      </c>
      <c r="Q189" s="106" t="b">
        <f>IF('Newtonus.Calculator.T Head.Pipe'!$AX$23=4,Tot.Head!Q181)</f>
        <v>0</v>
      </c>
      <c r="R189" s="106" t="b">
        <f>IF('Newtonus.Calculator.T Head.Pipe'!$AX$23=4,Tot.Head!R181)</f>
        <v>0</v>
      </c>
      <c r="S189" s="106" t="b">
        <f>IF('Newtonus.Calculator.T Head.Pipe'!$AX$23=4,Tot.Head!S181)</f>
        <v>0</v>
      </c>
      <c r="T189" s="106" t="b">
        <f>IF('Newtonus.Calculator.T Head.Pipe'!$AX$23=4,Tot.Head!T181)</f>
        <v>0</v>
      </c>
      <c r="U189" s="106" t="b">
        <f>IF('Newtonus.Calculator.T Head.Pipe'!$AX$23=4,Tot.Head!U181)</f>
        <v>0</v>
      </c>
      <c r="V189" s="106" t="b">
        <f>IF('Newtonus.Calculator.T Head.Pipe'!$AX$23=4,Tot.Head!V181)</f>
        <v>0</v>
      </c>
      <c r="W189" s="106" t="b">
        <f>IF('Newtonus.Calculator.T Head.Pipe'!$AX$23=4,Tot.Head!W181)</f>
        <v>0</v>
      </c>
      <c r="X189" s="106" t="b">
        <f>IF('Newtonus.Calculator.T Head.Pipe'!$AX$23=4,Tot.Head!X181)</f>
        <v>0</v>
      </c>
      <c r="Y189" s="106" t="b">
        <f>IF('Newtonus.Calculator.T Head.Pipe'!$AX$23=4,Tot.Head!Y181)</f>
        <v>0</v>
      </c>
      <c r="Z189" s="106" t="b">
        <f>IF('Newtonus.Calculator.T Head.Pipe'!$AX$23=4,Tot.Head!Z181)</f>
        <v>0</v>
      </c>
      <c r="AA189" s="106" t="b">
        <f>IF('Newtonus.Calculator.T Head.Pipe'!$AX$23=4,Tot.Head!AA181)</f>
        <v>0</v>
      </c>
      <c r="AB189" s="106" t="b">
        <f>IF('Newtonus.Calculator.T Head.Pipe'!$AX$23=4,Tot.Head!AB181)</f>
        <v>0</v>
      </c>
      <c r="AC189" s="106" t="b">
        <f>IF('Newtonus.Calculator.T Head.Pipe'!$AX$23=4,Tot.Head!AC181)</f>
        <v>0</v>
      </c>
      <c r="AD189" s="106" t="b">
        <f>IF('Newtonus.Calculator.T Head.Pipe'!$AX$23=4,Tot.Head!AD181)</f>
        <v>0</v>
      </c>
      <c r="AE189" s="106" t="b">
        <f>IF('Newtonus.Calculator.T Head.Pipe'!$AX$23=4,Tot.Head!AE181)</f>
        <v>0</v>
      </c>
      <c r="AF189" s="106" t="b">
        <f>IF('Newtonus.Calculator.T Head.Pipe'!$AX$23=4,Tot.Head!AF181)</f>
        <v>0</v>
      </c>
      <c r="AG189" s="106" t="b">
        <f>IF('Newtonus.Calculator.T Head.Pipe'!$AX$23=4,Tot.Head!AG181)</f>
        <v>0</v>
      </c>
      <c r="AH189" s="104">
        <f t="shared" si="34"/>
        <v>0</v>
      </c>
    </row>
    <row r="190" spans="12:34" x14ac:dyDescent="0.2">
      <c r="O190" s="99">
        <v>5</v>
      </c>
      <c r="P190" s="100" t="s">
        <v>96</v>
      </c>
      <c r="Q190" s="106" t="b">
        <f>IF('Newtonus.Calculator.T Head.Pipe'!$AX$23=5,Tot.Head!Q182)</f>
        <v>0</v>
      </c>
      <c r="R190" s="106" t="b">
        <f>IF('Newtonus.Calculator.T Head.Pipe'!$AX$23=5,Tot.Head!R182)</f>
        <v>0</v>
      </c>
      <c r="S190" s="106" t="b">
        <f>IF('Newtonus.Calculator.T Head.Pipe'!$AX$23=5,Tot.Head!S182)</f>
        <v>0</v>
      </c>
      <c r="T190" s="106" t="b">
        <f>IF('Newtonus.Calculator.T Head.Pipe'!$AX$23=5,Tot.Head!T182)</f>
        <v>0</v>
      </c>
      <c r="U190" s="106" t="b">
        <f>IF('Newtonus.Calculator.T Head.Pipe'!$AX$23=5,Tot.Head!U182)</f>
        <v>0</v>
      </c>
      <c r="V190" s="106" t="b">
        <f>IF('Newtonus.Calculator.T Head.Pipe'!$AX$23=5,Tot.Head!V182)</f>
        <v>0</v>
      </c>
      <c r="W190" s="106" t="b">
        <f>IF('Newtonus.Calculator.T Head.Pipe'!$AX$23=5,Tot.Head!W182)</f>
        <v>0</v>
      </c>
      <c r="X190" s="106" t="b">
        <f>IF('Newtonus.Calculator.T Head.Pipe'!$AX$23=5,Tot.Head!X182)</f>
        <v>0</v>
      </c>
      <c r="Y190" s="106" t="b">
        <f>IF('Newtonus.Calculator.T Head.Pipe'!$AX$23=5,Tot.Head!Y182)</f>
        <v>0</v>
      </c>
      <c r="Z190" s="106" t="b">
        <f>IF('Newtonus.Calculator.T Head.Pipe'!$AX$23=5,Tot.Head!Z182)</f>
        <v>0</v>
      </c>
      <c r="AA190" s="106" t="b">
        <f>IF('Newtonus.Calculator.T Head.Pipe'!$AX$23=5,Tot.Head!AA182)</f>
        <v>0</v>
      </c>
      <c r="AB190" s="106" t="b">
        <f>IF('Newtonus.Calculator.T Head.Pipe'!$AX$23=5,Tot.Head!AB182)</f>
        <v>0</v>
      </c>
      <c r="AC190" s="106" t="b">
        <f>IF('Newtonus.Calculator.T Head.Pipe'!$AX$23=5,Tot.Head!AC182)</f>
        <v>0</v>
      </c>
      <c r="AD190" s="106" t="b">
        <f>IF('Newtonus.Calculator.T Head.Pipe'!$AX$23=5,Tot.Head!AD182)</f>
        <v>0</v>
      </c>
      <c r="AE190" s="106" t="b">
        <f>IF('Newtonus.Calculator.T Head.Pipe'!$AX$23=5,Tot.Head!AE182)</f>
        <v>0</v>
      </c>
      <c r="AF190" s="106" t="b">
        <f>IF('Newtonus.Calculator.T Head.Pipe'!$AX$23=5,Tot.Head!AF182)</f>
        <v>0</v>
      </c>
      <c r="AG190" s="106" t="b">
        <f>IF('Newtonus.Calculator.T Head.Pipe'!$AX$23=5,Tot.Head!AG182)</f>
        <v>0</v>
      </c>
      <c r="AH190" s="104">
        <f t="shared" si="34"/>
        <v>0</v>
      </c>
    </row>
    <row r="191" spans="12:34" x14ac:dyDescent="0.2">
      <c r="O191" s="99">
        <v>6</v>
      </c>
      <c r="P191" s="100" t="s">
        <v>117</v>
      </c>
      <c r="Q191" s="106" t="b">
        <f>IF('Newtonus.Calculator.T Head.Pipe'!$AX$23=6,Tot.Head!Q183)</f>
        <v>0</v>
      </c>
      <c r="R191" s="106" t="b">
        <f>IF('Newtonus.Calculator.T Head.Pipe'!$AX$23=6,Tot.Head!R183)</f>
        <v>0</v>
      </c>
      <c r="S191" s="106" t="b">
        <f>IF('Newtonus.Calculator.T Head.Pipe'!$AX$23=6,Tot.Head!S183)</f>
        <v>0</v>
      </c>
      <c r="T191" s="106" t="b">
        <f>IF('Newtonus.Calculator.T Head.Pipe'!$AX$23=6,Tot.Head!T183)</f>
        <v>0</v>
      </c>
      <c r="U191" s="106" t="b">
        <f>IF('Newtonus.Calculator.T Head.Pipe'!$AX$23=6,Tot.Head!U183)</f>
        <v>0</v>
      </c>
      <c r="V191" s="106" t="b">
        <f>IF('Newtonus.Calculator.T Head.Pipe'!$AX$23=6,Tot.Head!V183)</f>
        <v>0</v>
      </c>
      <c r="W191" s="106" t="b">
        <f>IF('Newtonus.Calculator.T Head.Pipe'!$AX$23=6,Tot.Head!W183)</f>
        <v>0</v>
      </c>
      <c r="X191" s="106" t="b">
        <f>IF('Newtonus.Calculator.T Head.Pipe'!$AX$23=6,Tot.Head!X183)</f>
        <v>0</v>
      </c>
      <c r="Y191" s="106" t="b">
        <f>IF('Newtonus.Calculator.T Head.Pipe'!$AX$23=6,Tot.Head!Y183)</f>
        <v>0</v>
      </c>
      <c r="Z191" s="106" t="b">
        <f>IF('Newtonus.Calculator.T Head.Pipe'!$AX$23=6,Tot.Head!Z183)</f>
        <v>0</v>
      </c>
      <c r="AA191" s="106" t="b">
        <f>IF('Newtonus.Calculator.T Head.Pipe'!$AX$23=6,Tot.Head!AA183)</f>
        <v>0</v>
      </c>
      <c r="AB191" s="106" t="b">
        <f>IF('Newtonus.Calculator.T Head.Pipe'!$AX$23=6,Tot.Head!AB183)</f>
        <v>0</v>
      </c>
      <c r="AC191" s="106" t="b">
        <f>IF('Newtonus.Calculator.T Head.Pipe'!$AX$23=6,Tot.Head!AC183)</f>
        <v>0</v>
      </c>
      <c r="AD191" s="106" t="b">
        <f>IF('Newtonus.Calculator.T Head.Pipe'!$AX$23=6,Tot.Head!AD183)</f>
        <v>0</v>
      </c>
      <c r="AE191" s="106" t="b">
        <f>IF('Newtonus.Calculator.T Head.Pipe'!$AX$23=6,Tot.Head!AE183)</f>
        <v>0</v>
      </c>
      <c r="AF191" s="106" t="b">
        <f>IF('Newtonus.Calculator.T Head.Pipe'!$AX$23=6,Tot.Head!AF183)</f>
        <v>0</v>
      </c>
      <c r="AG191" s="106" t="b">
        <f>IF('Newtonus.Calculator.T Head.Pipe'!$AX$23=6,Tot.Head!AG183)</f>
        <v>0</v>
      </c>
      <c r="AH191" s="104">
        <f t="shared" si="34"/>
        <v>0</v>
      </c>
    </row>
    <row r="192" spans="12:34" x14ac:dyDescent="0.2">
      <c r="O192" s="99">
        <v>7</v>
      </c>
      <c r="P192" s="100" t="s">
        <v>116</v>
      </c>
      <c r="Q192" s="106" t="b">
        <f>IF('Newtonus.Calculator.T Head.Pipe'!$AX$23=7,Tot.Head!Q184)</f>
        <v>0</v>
      </c>
      <c r="R192" s="106" t="b">
        <f>IF('Newtonus.Calculator.T Head.Pipe'!$AX$23=7,Tot.Head!R184)</f>
        <v>0</v>
      </c>
      <c r="S192" s="106" t="b">
        <f>IF('Newtonus.Calculator.T Head.Pipe'!$AX$23=7,Tot.Head!S184)</f>
        <v>0</v>
      </c>
      <c r="T192" s="106" t="b">
        <f>IF('Newtonus.Calculator.T Head.Pipe'!$AX$23=7,Tot.Head!T184)</f>
        <v>0</v>
      </c>
      <c r="U192" s="106" t="b">
        <f>IF('Newtonus.Calculator.T Head.Pipe'!$AX$23=7,Tot.Head!U184)</f>
        <v>0</v>
      </c>
      <c r="V192" s="106" t="b">
        <f>IF('Newtonus.Calculator.T Head.Pipe'!$AX$23=7,Tot.Head!V184)</f>
        <v>0</v>
      </c>
      <c r="W192" s="106" t="b">
        <f>IF('Newtonus.Calculator.T Head.Pipe'!$AX$23=7,Tot.Head!W184)</f>
        <v>0</v>
      </c>
      <c r="X192" s="106" t="b">
        <f>IF('Newtonus.Calculator.T Head.Pipe'!$AX$23=7,Tot.Head!X184)</f>
        <v>0</v>
      </c>
      <c r="Y192" s="106" t="b">
        <f>IF('Newtonus.Calculator.T Head.Pipe'!$AX$23=7,Tot.Head!Y184)</f>
        <v>0</v>
      </c>
      <c r="Z192" s="106" t="b">
        <f>IF('Newtonus.Calculator.T Head.Pipe'!$AX$23=7,Tot.Head!Z184)</f>
        <v>0</v>
      </c>
      <c r="AA192" s="106" t="b">
        <f>IF('Newtonus.Calculator.T Head.Pipe'!$AX$23=7,Tot.Head!AA184)</f>
        <v>0</v>
      </c>
      <c r="AB192" s="106" t="b">
        <f>IF('Newtonus.Calculator.T Head.Pipe'!$AX$23=7,Tot.Head!AB184)</f>
        <v>0</v>
      </c>
      <c r="AC192" s="106" t="b">
        <f>IF('Newtonus.Calculator.T Head.Pipe'!$AX$23=7,Tot.Head!AC184)</f>
        <v>0</v>
      </c>
      <c r="AD192" s="106" t="b">
        <f>IF('Newtonus.Calculator.T Head.Pipe'!$AX$23=7,Tot.Head!AD184)</f>
        <v>0</v>
      </c>
      <c r="AE192" s="106" t="b">
        <f>IF('Newtonus.Calculator.T Head.Pipe'!$AX$23=7,Tot.Head!AE184)</f>
        <v>0</v>
      </c>
      <c r="AF192" s="106" t="b">
        <f>IF('Newtonus.Calculator.T Head.Pipe'!$AX$23=7,Tot.Head!AF184)</f>
        <v>0</v>
      </c>
      <c r="AG192" s="106" t="b">
        <f>IF('Newtonus.Calculator.T Head.Pipe'!$AX$23=7,Tot.Head!AG184)</f>
        <v>0</v>
      </c>
      <c r="AH192" s="104">
        <f t="shared" si="34"/>
        <v>0</v>
      </c>
    </row>
    <row r="193" spans="11:35" x14ac:dyDescent="0.2">
      <c r="AH193" s="104"/>
    </row>
    <row r="194" spans="11:35" x14ac:dyDescent="0.2">
      <c r="AH194" s="104">
        <f>SUM(AH186:AH192)</f>
        <v>0</v>
      </c>
      <c r="AI194" s="87" t="s">
        <v>115</v>
      </c>
    </row>
    <row r="196" spans="11:35" x14ac:dyDescent="0.2">
      <c r="O196" s="11"/>
      <c r="P196" s="11" t="s">
        <v>154</v>
      </c>
      <c r="Q196" s="832" t="s">
        <v>38</v>
      </c>
      <c r="R196" s="832"/>
      <c r="S196" s="832"/>
      <c r="T196" s="832"/>
      <c r="U196" s="832"/>
      <c r="V196" s="832"/>
      <c r="W196" s="832"/>
      <c r="X196" s="832"/>
      <c r="Y196" s="832"/>
      <c r="Z196" s="832"/>
      <c r="AA196" s="832"/>
      <c r="AB196" s="832"/>
      <c r="AC196" s="832"/>
      <c r="AD196" s="832"/>
      <c r="AE196" s="832"/>
      <c r="AF196" s="832"/>
      <c r="AG196" s="833"/>
      <c r="AH196" s="87"/>
    </row>
    <row r="197" spans="11:35" x14ac:dyDescent="0.2">
      <c r="O197" s="13"/>
      <c r="P197" s="13"/>
      <c r="Q197" s="149">
        <f>Q199</f>
        <v>1</v>
      </c>
      <c r="R197" s="149">
        <f t="shared" ref="R197:AG197" si="35">R199</f>
        <v>2</v>
      </c>
      <c r="S197" s="149">
        <f t="shared" si="35"/>
        <v>3</v>
      </c>
      <c r="T197" s="149">
        <f t="shared" si="35"/>
        <v>4</v>
      </c>
      <c r="U197" s="149">
        <f t="shared" si="35"/>
        <v>5</v>
      </c>
      <c r="V197" s="149">
        <f t="shared" si="35"/>
        <v>6</v>
      </c>
      <c r="W197" s="149">
        <f t="shared" si="35"/>
        <v>7</v>
      </c>
      <c r="X197" s="149">
        <f t="shared" si="35"/>
        <v>8</v>
      </c>
      <c r="Y197" s="149">
        <f t="shared" si="35"/>
        <v>9</v>
      </c>
      <c r="Z197" s="149">
        <f t="shared" si="35"/>
        <v>10</v>
      </c>
      <c r="AA197" s="149">
        <f t="shared" si="35"/>
        <v>11</v>
      </c>
      <c r="AB197" s="149">
        <f t="shared" si="35"/>
        <v>12</v>
      </c>
      <c r="AC197" s="149">
        <f t="shared" si="35"/>
        <v>13</v>
      </c>
      <c r="AD197" s="149">
        <f t="shared" si="35"/>
        <v>14</v>
      </c>
      <c r="AE197" s="149">
        <f t="shared" si="35"/>
        <v>15</v>
      </c>
      <c r="AF197" s="149">
        <f t="shared" si="35"/>
        <v>16</v>
      </c>
      <c r="AG197" s="150">
        <f t="shared" si="35"/>
        <v>17</v>
      </c>
      <c r="AH197" s="87"/>
    </row>
    <row r="198" spans="11:35" x14ac:dyDescent="0.2">
      <c r="O198" s="14" t="s">
        <v>39</v>
      </c>
      <c r="P198" s="34">
        <v>0</v>
      </c>
      <c r="Q198" s="10">
        <v>15</v>
      </c>
      <c r="R198" s="10">
        <v>20</v>
      </c>
      <c r="S198" s="10">
        <v>25</v>
      </c>
      <c r="T198" s="10">
        <v>32</v>
      </c>
      <c r="U198" s="10">
        <v>40</v>
      </c>
      <c r="V198" s="10">
        <v>50</v>
      </c>
      <c r="W198" s="10">
        <v>65</v>
      </c>
      <c r="X198" s="10">
        <v>80</v>
      </c>
      <c r="Y198" s="10">
        <v>100</v>
      </c>
      <c r="Z198" s="10">
        <v>125</v>
      </c>
      <c r="AA198" s="10">
        <v>150</v>
      </c>
      <c r="AB198" s="10">
        <v>200</v>
      </c>
      <c r="AC198" s="10">
        <v>250</v>
      </c>
      <c r="AD198" s="10">
        <v>300</v>
      </c>
      <c r="AE198" s="10">
        <v>400</v>
      </c>
      <c r="AF198" s="10">
        <v>450</v>
      </c>
      <c r="AG198" s="10">
        <v>600</v>
      </c>
      <c r="AH198" s="87">
        <v>6000</v>
      </c>
    </row>
    <row r="199" spans="11:35" x14ac:dyDescent="0.2">
      <c r="O199" s="87"/>
      <c r="P199" s="87"/>
      <c r="Q199" s="87">
        <v>1</v>
      </c>
      <c r="R199" s="87">
        <f>Q199+1</f>
        <v>2</v>
      </c>
      <c r="S199" s="87">
        <f t="shared" ref="S199:AG199" si="36">R199+1</f>
        <v>3</v>
      </c>
      <c r="T199" s="87">
        <f t="shared" si="36"/>
        <v>4</v>
      </c>
      <c r="U199" s="87">
        <f t="shared" si="36"/>
        <v>5</v>
      </c>
      <c r="V199" s="87">
        <f t="shared" si="36"/>
        <v>6</v>
      </c>
      <c r="W199" s="87">
        <f t="shared" si="36"/>
        <v>7</v>
      </c>
      <c r="X199" s="87">
        <f t="shared" si="36"/>
        <v>8</v>
      </c>
      <c r="Y199" s="87">
        <f t="shared" si="36"/>
        <v>9</v>
      </c>
      <c r="Z199" s="87">
        <f t="shared" si="36"/>
        <v>10</v>
      </c>
      <c r="AA199" s="87">
        <f t="shared" si="36"/>
        <v>11</v>
      </c>
      <c r="AB199" s="87">
        <f t="shared" si="36"/>
        <v>12</v>
      </c>
      <c r="AC199" s="87">
        <f t="shared" si="36"/>
        <v>13</v>
      </c>
      <c r="AD199" s="87">
        <f t="shared" si="36"/>
        <v>14</v>
      </c>
      <c r="AE199" s="87">
        <f t="shared" si="36"/>
        <v>15</v>
      </c>
      <c r="AF199" s="87">
        <f t="shared" si="36"/>
        <v>16</v>
      </c>
      <c r="AG199" s="87">
        <f t="shared" si="36"/>
        <v>17</v>
      </c>
      <c r="AH199" s="87"/>
    </row>
    <row r="200" spans="11:35" x14ac:dyDescent="0.2">
      <c r="K200" s="128">
        <f>HLOOKUP(L200,Q$197:AG$198,2)</f>
        <v>25</v>
      </c>
      <c r="L200" s="128">
        <f>SUM(Q200:AG200)</f>
        <v>3</v>
      </c>
      <c r="M200" s="128"/>
      <c r="N200" s="128"/>
      <c r="O200" s="152" t="s">
        <v>150</v>
      </c>
      <c r="P200" s="100">
        <f>'Newtonus.Calculator.T Head.Pipe'!G27</f>
        <v>25</v>
      </c>
      <c r="Q200" s="87">
        <f>IF(AND(Q$198&lt;=P200,R$198&gt;P200),Q$199,0)</f>
        <v>0</v>
      </c>
      <c r="R200" s="87">
        <f t="shared" ref="R200:AG200" si="37">IF(AND(R198&lt;=$P200,S198&gt;$P200),R199,0)</f>
        <v>0</v>
      </c>
      <c r="S200" s="87">
        <f t="shared" si="37"/>
        <v>3</v>
      </c>
      <c r="T200" s="87">
        <f t="shared" si="37"/>
        <v>0</v>
      </c>
      <c r="U200" s="87">
        <f t="shared" si="37"/>
        <v>0</v>
      </c>
      <c r="V200" s="87">
        <f t="shared" si="37"/>
        <v>0</v>
      </c>
      <c r="W200" s="87">
        <f t="shared" si="37"/>
        <v>0</v>
      </c>
      <c r="X200" s="87">
        <f t="shared" si="37"/>
        <v>0</v>
      </c>
      <c r="Y200" s="87">
        <f t="shared" si="37"/>
        <v>0</v>
      </c>
      <c r="Z200" s="87">
        <f t="shared" si="37"/>
        <v>0</v>
      </c>
      <c r="AA200" s="87">
        <f t="shared" si="37"/>
        <v>0</v>
      </c>
      <c r="AB200" s="87">
        <f t="shared" si="37"/>
        <v>0</v>
      </c>
      <c r="AC200" s="87">
        <f t="shared" si="37"/>
        <v>0</v>
      </c>
      <c r="AD200" s="87">
        <f t="shared" si="37"/>
        <v>0</v>
      </c>
      <c r="AE200" s="87">
        <f t="shared" si="37"/>
        <v>0</v>
      </c>
      <c r="AF200" s="87">
        <f t="shared" si="37"/>
        <v>0</v>
      </c>
      <c r="AG200" s="87">
        <f t="shared" si="37"/>
        <v>0</v>
      </c>
      <c r="AH200" s="87"/>
    </row>
    <row r="201" spans="11:35" x14ac:dyDescent="0.2">
      <c r="K201" s="128">
        <f>HLOOKUP(L201,Q$197:AG$198,2)</f>
        <v>32</v>
      </c>
      <c r="L201" s="128">
        <f>SUM(Q201:AG201)</f>
        <v>4</v>
      </c>
      <c r="M201" s="128"/>
      <c r="N201" s="128"/>
      <c r="O201" s="152" t="s">
        <v>151</v>
      </c>
      <c r="P201" s="151">
        <f>'Newtonus.Calculator.T Head.Pipe'!AR28</f>
        <v>32</v>
      </c>
      <c r="Q201" s="87">
        <f>IF(AND(Q198&lt;=$P201,R198&gt;$P201),Q199,0)</f>
        <v>0</v>
      </c>
      <c r="R201" s="87">
        <f t="shared" ref="R201:AG201" si="38">IF(AND(R198&lt;=$P201,S198&gt;$P201),R199,0)</f>
        <v>0</v>
      </c>
      <c r="S201" s="87">
        <f t="shared" si="38"/>
        <v>0</v>
      </c>
      <c r="T201" s="87">
        <f t="shared" si="38"/>
        <v>4</v>
      </c>
      <c r="U201" s="87">
        <f t="shared" si="38"/>
        <v>0</v>
      </c>
      <c r="V201" s="87">
        <f t="shared" si="38"/>
        <v>0</v>
      </c>
      <c r="W201" s="87">
        <f t="shared" si="38"/>
        <v>0</v>
      </c>
      <c r="X201" s="87">
        <f t="shared" si="38"/>
        <v>0</v>
      </c>
      <c r="Y201" s="87">
        <f t="shared" si="38"/>
        <v>0</v>
      </c>
      <c r="Z201" s="87">
        <f t="shared" si="38"/>
        <v>0</v>
      </c>
      <c r="AA201" s="87">
        <f t="shared" si="38"/>
        <v>0</v>
      </c>
      <c r="AB201" s="87">
        <f t="shared" si="38"/>
        <v>0</v>
      </c>
      <c r="AC201" s="87">
        <f t="shared" si="38"/>
        <v>0</v>
      </c>
      <c r="AD201" s="87">
        <f t="shared" si="38"/>
        <v>0</v>
      </c>
      <c r="AE201" s="87">
        <f t="shared" si="38"/>
        <v>0</v>
      </c>
      <c r="AF201" s="87">
        <f t="shared" si="38"/>
        <v>0</v>
      </c>
      <c r="AG201" s="87">
        <f t="shared" si="38"/>
        <v>0</v>
      </c>
      <c r="AH201" s="87"/>
    </row>
    <row r="202" spans="11:35" x14ac:dyDescent="0.2">
      <c r="K202" s="128">
        <f>HLOOKUP(L202,Q$197:AG$198,2)</f>
        <v>32</v>
      </c>
      <c r="L202" s="128">
        <f>SUM(Q202:AG202)</f>
        <v>4</v>
      </c>
      <c r="M202" s="128"/>
      <c r="N202" s="128"/>
      <c r="O202" s="152" t="s">
        <v>152</v>
      </c>
      <c r="P202" s="151">
        <f>'Newtonus.Calculator.T Head.Pipe'!AU28</f>
        <v>32</v>
      </c>
      <c r="Q202" s="87">
        <f>IF(AND(Q198&lt;=$P202,R198&gt;$P202),Q199,0)</f>
        <v>0</v>
      </c>
      <c r="R202" s="87">
        <f t="shared" ref="R202:AG202" si="39">IF(AND(R198&lt;=$P202,S198&gt;$P202),R199,0)</f>
        <v>0</v>
      </c>
      <c r="S202" s="87">
        <f t="shared" si="39"/>
        <v>0</v>
      </c>
      <c r="T202" s="87">
        <f t="shared" si="39"/>
        <v>4</v>
      </c>
      <c r="U202" s="87">
        <f t="shared" si="39"/>
        <v>0</v>
      </c>
      <c r="V202" s="87">
        <f t="shared" si="39"/>
        <v>0</v>
      </c>
      <c r="W202" s="87">
        <f t="shared" si="39"/>
        <v>0</v>
      </c>
      <c r="X202" s="87">
        <f t="shared" si="39"/>
        <v>0</v>
      </c>
      <c r="Y202" s="87">
        <f t="shared" si="39"/>
        <v>0</v>
      </c>
      <c r="Z202" s="87">
        <f t="shared" si="39"/>
        <v>0</v>
      </c>
      <c r="AA202" s="87">
        <f t="shared" si="39"/>
        <v>0</v>
      </c>
      <c r="AB202" s="87">
        <f t="shared" si="39"/>
        <v>0</v>
      </c>
      <c r="AC202" s="87">
        <f t="shared" si="39"/>
        <v>0</v>
      </c>
      <c r="AD202" s="87">
        <f t="shared" si="39"/>
        <v>0</v>
      </c>
      <c r="AE202" s="87">
        <f t="shared" si="39"/>
        <v>0</v>
      </c>
      <c r="AF202" s="87">
        <f t="shared" si="39"/>
        <v>0</v>
      </c>
      <c r="AG202" s="87">
        <f t="shared" si="39"/>
        <v>0</v>
      </c>
      <c r="AH202" s="87"/>
    </row>
    <row r="203" spans="11:35" x14ac:dyDescent="0.2">
      <c r="K203" s="128">
        <f>HLOOKUP(L203,Q$197:AG$198,2)</f>
        <v>32</v>
      </c>
      <c r="L203" s="128">
        <f>SUM(Q203:AG203)</f>
        <v>4</v>
      </c>
      <c r="M203" s="128"/>
      <c r="N203" s="128"/>
      <c r="O203" s="152" t="s">
        <v>153</v>
      </c>
      <c r="P203" s="100">
        <f>'Newtonus.Calculator.T Head.Pipe'!AX28</f>
        <v>32</v>
      </c>
      <c r="Q203" s="87">
        <f>IF(AND(Q198&lt;=$P203,R198&gt;$P203),Q199,0)</f>
        <v>0</v>
      </c>
      <c r="R203" s="87">
        <f t="shared" ref="R203:AG203" si="40">IF(AND(R198&lt;=$P203,S198&gt;$P203),R199,0)</f>
        <v>0</v>
      </c>
      <c r="S203" s="87">
        <f t="shared" si="40"/>
        <v>0</v>
      </c>
      <c r="T203" s="87">
        <f t="shared" si="40"/>
        <v>4</v>
      </c>
      <c r="U203" s="87">
        <f t="shared" si="40"/>
        <v>0</v>
      </c>
      <c r="V203" s="87">
        <f t="shared" si="40"/>
        <v>0</v>
      </c>
      <c r="W203" s="87">
        <f t="shared" si="40"/>
        <v>0</v>
      </c>
      <c r="X203" s="87">
        <f t="shared" si="40"/>
        <v>0</v>
      </c>
      <c r="Y203" s="87">
        <f t="shared" si="40"/>
        <v>0</v>
      </c>
      <c r="Z203" s="87">
        <f t="shared" si="40"/>
        <v>0</v>
      </c>
      <c r="AA203" s="87">
        <f t="shared" si="40"/>
        <v>0</v>
      </c>
      <c r="AB203" s="87">
        <f t="shared" si="40"/>
        <v>0</v>
      </c>
      <c r="AC203" s="87">
        <f t="shared" si="40"/>
        <v>0</v>
      </c>
      <c r="AD203" s="87">
        <f t="shared" si="40"/>
        <v>0</v>
      </c>
      <c r="AE203" s="87">
        <f t="shared" si="40"/>
        <v>0</v>
      </c>
      <c r="AF203" s="87">
        <f t="shared" si="40"/>
        <v>0</v>
      </c>
      <c r="AG203" s="87">
        <f t="shared" si="40"/>
        <v>0</v>
      </c>
      <c r="AH203" s="87"/>
    </row>
    <row r="204" spans="11:35" x14ac:dyDescent="0.2"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</row>
  </sheetData>
  <sheetProtection password="C4F0" sheet="1" objects="1" scenarios="1"/>
  <customSheetViews>
    <customSheetView guid="{271937E2-A983-48B8-B01A-78DF13D405AE}" showGridLines="0" state="hidden" topLeftCell="A51">
      <selection activeCell="G59" sqref="G59"/>
      <pageMargins left="1.1399999999999999" right="0.75" top="0.31" bottom="0.25" header="0.24" footer="0.16"/>
      <pageSetup orientation="portrait" horizontalDpi="200" verticalDpi="200" r:id="rId1"/>
      <headerFooter alignWithMargins="0"/>
    </customSheetView>
  </customSheetViews>
  <mergeCells count="24">
    <mergeCell ref="B6:D6"/>
    <mergeCell ref="B54:G54"/>
    <mergeCell ref="H4:I4"/>
    <mergeCell ref="A88:C88"/>
    <mergeCell ref="B37:G37"/>
    <mergeCell ref="A45:A66"/>
    <mergeCell ref="A83:C83"/>
    <mergeCell ref="A84:C84"/>
    <mergeCell ref="A85:C85"/>
    <mergeCell ref="A86:C86"/>
    <mergeCell ref="A87:C87"/>
    <mergeCell ref="AH2:AI2"/>
    <mergeCell ref="H3:I3"/>
    <mergeCell ref="Q196:AG196"/>
    <mergeCell ref="Q11:AG11"/>
    <mergeCell ref="Q23:AJ23"/>
    <mergeCell ref="J3:K3"/>
    <mergeCell ref="J4:K4"/>
    <mergeCell ref="B2:G2"/>
    <mergeCell ref="F4:G4"/>
    <mergeCell ref="D5:E5"/>
    <mergeCell ref="B3:E3"/>
    <mergeCell ref="F3:G3"/>
    <mergeCell ref="B4:E4"/>
  </mergeCells>
  <phoneticPr fontId="0" type="noConversion"/>
  <pageMargins left="1.1399999999999999" right="0.75" top="0.31" bottom="0.25" header="0.24" footer="0.16"/>
  <pageSetup orientation="portrait" horizontalDpi="200" verticalDpi="200" r:id="rId2"/>
  <headerFooter alignWithMargins="0"/>
  <cellWatches>
    <cellWatch r="A6"/>
  </cellWatch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Newtonus.Calculator.T Head.Pipe</vt:lpstr>
      <vt:lpstr>Tot.Head</vt:lpstr>
      <vt:lpstr>'Newtonus.Calculator.T Head.Pipe'!Print_Area</vt:lpstr>
      <vt:lpstr>Tot.Head!Print_Area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2023-02-08T06:33:13Z</cp:lastPrinted>
  <dcterms:created xsi:type="dcterms:W3CDTF">2003-05-02T19:28:17Z</dcterms:created>
  <dcterms:modified xsi:type="dcterms:W3CDTF">2023-06-02T11:42:29Z</dcterms:modified>
</cp:coreProperties>
</file>